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PTIC\Hydraulic Design Worksheet\"/>
    </mc:Choice>
  </mc:AlternateContent>
  <xr:revisionPtr revIDLastSave="0" documentId="8_{99B6405E-E475-4053-92FB-F71922DA989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000 gal pump chamber" sheetId="3" r:id="rId1"/>
    <sheet name="832 gal pump chamber" sheetId="2" r:id="rId2"/>
    <sheet name="500 gal pump chamber" sheetId="1" r:id="rId3"/>
  </sheets>
  <definedNames>
    <definedName name="_xlnm.Print_Area" localSheetId="2">'500 gal pump chamber'!$A$1:$L$62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3" l="1"/>
  <c r="F5" i="3"/>
  <c r="F4" i="3"/>
  <c r="F7" i="2"/>
  <c r="F4" i="2"/>
  <c r="F5" i="2"/>
  <c r="H40" i="3" l="1"/>
  <c r="G40" i="3"/>
  <c r="L37" i="3"/>
  <c r="K37" i="3"/>
  <c r="L41" i="2"/>
  <c r="K41" i="2"/>
  <c r="J41" i="2"/>
  <c r="I41" i="2"/>
  <c r="H40" i="2"/>
  <c r="G40" i="2"/>
  <c r="L37" i="2"/>
  <c r="K37" i="2"/>
  <c r="I48" i="3" l="1"/>
  <c r="I43" i="3"/>
  <c r="J37" i="3"/>
  <c r="I37" i="3"/>
  <c r="H37" i="3"/>
  <c r="G37" i="3"/>
  <c r="D37" i="3" s="1"/>
  <c r="H34" i="3"/>
  <c r="I20" i="3"/>
  <c r="G18" i="3"/>
  <c r="K18" i="3" s="1"/>
  <c r="G17" i="3"/>
  <c r="G16" i="3"/>
  <c r="K38" i="3" s="1"/>
  <c r="G15" i="3"/>
  <c r="G14" i="3"/>
  <c r="G13" i="3"/>
  <c r="F49" i="3" s="1"/>
  <c r="F50" i="3" s="1"/>
  <c r="F52" i="3" s="1"/>
  <c r="D12" i="3"/>
  <c r="F6" i="3"/>
  <c r="B6" i="3"/>
  <c r="B5" i="3"/>
  <c r="B4" i="3"/>
  <c r="G41" i="3" l="1"/>
  <c r="H41" i="3"/>
  <c r="L38" i="3"/>
  <c r="H38" i="3"/>
  <c r="I38" i="3"/>
  <c r="J38" i="3"/>
  <c r="G29" i="3"/>
  <c r="F22" i="3"/>
  <c r="F23" i="3" s="1"/>
  <c r="G25" i="3" s="1"/>
  <c r="G26" i="3" s="1"/>
  <c r="F44" i="3"/>
  <c r="F45" i="3" s="1"/>
  <c r="D52" i="3" s="1"/>
  <c r="H52" i="3" s="1"/>
  <c r="E55" i="3" s="1"/>
  <c r="E56" i="3" s="1"/>
  <c r="H56" i="3" s="1"/>
  <c r="H60" i="3" s="1"/>
  <c r="I61" i="3" s="1"/>
  <c r="G38" i="3"/>
  <c r="L41" i="1"/>
  <c r="K41" i="1"/>
  <c r="J41" i="1"/>
  <c r="I41" i="1"/>
  <c r="H41" i="1"/>
  <c r="G41" i="1"/>
  <c r="L38" i="1"/>
  <c r="K38" i="1"/>
  <c r="J38" i="1"/>
  <c r="I38" i="1"/>
  <c r="H38" i="1"/>
  <c r="G38" i="1"/>
  <c r="I22" i="3" l="1"/>
  <c r="I23" i="3" s="1"/>
  <c r="D33" i="3"/>
  <c r="G27" i="3"/>
  <c r="G28" i="3" s="1"/>
  <c r="G30" i="3" s="1"/>
  <c r="H33" i="3" s="1"/>
  <c r="G13" i="2"/>
  <c r="H34" i="2"/>
  <c r="G18" i="2"/>
  <c r="G17" i="2"/>
  <c r="G16" i="2"/>
  <c r="G15" i="2"/>
  <c r="G14" i="2"/>
  <c r="F6" i="2"/>
  <c r="B6" i="2"/>
  <c r="B5" i="2"/>
  <c r="B4" i="2"/>
  <c r="J37" i="2"/>
  <c r="I37" i="2"/>
  <c r="I38" i="2" s="1"/>
  <c r="H37" i="2"/>
  <c r="G37" i="2"/>
  <c r="D37" i="2" l="1"/>
  <c r="H41" i="2"/>
  <c r="K38" i="2"/>
  <c r="L38" i="2"/>
  <c r="G41" i="2"/>
  <c r="G38" i="2"/>
  <c r="J38" i="2"/>
  <c r="H38" i="2"/>
  <c r="F49" i="2"/>
  <c r="F50" i="2" s="1"/>
  <c r="F52" i="2" s="1"/>
  <c r="I48" i="2"/>
  <c r="F44" i="2"/>
  <c r="F45" i="2" s="1"/>
  <c r="D52" i="2" s="1"/>
  <c r="I43" i="2"/>
  <c r="G29" i="2"/>
  <c r="I20" i="2"/>
  <c r="K18" i="2"/>
  <c r="F22" i="2" s="1"/>
  <c r="D12" i="2"/>
  <c r="H52" i="2" l="1"/>
  <c r="E55" i="2" s="1"/>
  <c r="E56" i="2" s="1"/>
  <c r="I22" i="2"/>
  <c r="I23" i="2" s="1"/>
  <c r="F23" i="2"/>
  <c r="G25" i="2" s="1"/>
  <c r="G26" i="2" s="1"/>
  <c r="I20" i="1"/>
  <c r="F44" i="1"/>
  <c r="F45" i="1" s="1"/>
  <c r="D52" i="1" s="1"/>
  <c r="K18" i="1"/>
  <c r="F22" i="1" s="1"/>
  <c r="I22" i="1" s="1"/>
  <c r="I23" i="1" s="1"/>
  <c r="I43" i="1"/>
  <c r="F49" i="1"/>
  <c r="F50" i="1" s="1"/>
  <c r="F52" i="1" s="1"/>
  <c r="I48" i="1"/>
  <c r="D12" i="1"/>
  <c r="G29" i="1"/>
  <c r="H56" i="2" l="1"/>
  <c r="H60" i="2" s="1"/>
  <c r="I61" i="2" s="1"/>
  <c r="G27" i="2"/>
  <c r="G28" i="2" s="1"/>
  <c r="G30" i="2" s="1"/>
  <c r="H33" i="2" s="1"/>
  <c r="D33" i="2"/>
  <c r="H52" i="1"/>
  <c r="F23" i="1"/>
  <c r="G25" i="1" s="1"/>
  <c r="G26" i="1" s="1"/>
  <c r="E55" i="1" l="1"/>
  <c r="E56" i="1" s="1"/>
  <c r="G27" i="1"/>
  <c r="D33" i="1"/>
  <c r="G28" i="1" l="1"/>
  <c r="G30" i="1" s="1"/>
  <c r="H33" i="1" s="1"/>
  <c r="H56" i="1"/>
  <c r="H60" i="1" l="1"/>
  <c r="I61" i="1" s="1"/>
</calcChain>
</file>

<file path=xl/sharedStrings.xml><?xml version="1.0" encoding="utf-8"?>
<sst xmlns="http://schemas.openxmlformats.org/spreadsheetml/2006/main" count="433" uniqueCount="128">
  <si>
    <t xml:space="preserve">Designer: </t>
  </si>
  <si>
    <t xml:space="preserve">Tel: </t>
  </si>
  <si>
    <t>Design Data Required</t>
  </si>
  <si>
    <t>Orifice Diameter  (OD)</t>
  </si>
  <si>
    <t>inch</t>
  </si>
  <si>
    <t>(minimum 1/8th inch)</t>
  </si>
  <si>
    <t>Orifice Spacing (OS)</t>
  </si>
  <si>
    <t xml:space="preserve">ft </t>
  </si>
  <si>
    <t>on centers (maximum 5 feet)</t>
  </si>
  <si>
    <t>Pressure head, first orifice (HO)</t>
  </si>
  <si>
    <t>ft</t>
  </si>
  <si>
    <t>Orifice Discharge Rate (QO)</t>
  </si>
  <si>
    <t>gal/min</t>
  </si>
  <si>
    <t>(from orifice flow chart)</t>
  </si>
  <si>
    <t>Length of Force Main (LFM)</t>
  </si>
  <si>
    <t>LFM</t>
  </si>
  <si>
    <t>ft.</t>
  </si>
  <si>
    <t xml:space="preserve">Diameter of Force Main </t>
  </si>
  <si>
    <t>DFM</t>
  </si>
  <si>
    <t>inches</t>
  </si>
  <si>
    <t>Pump Chamber Low-Level (pump "off") elevation</t>
  </si>
  <si>
    <t>E1</t>
  </si>
  <si>
    <t>Elevation of Upper Lateral</t>
  </si>
  <si>
    <t>E2</t>
  </si>
  <si>
    <t xml:space="preserve">Daily Sewage Volume </t>
  </si>
  <si>
    <t>QS/</t>
  </si>
  <si>
    <t>gal / day</t>
  </si>
  <si>
    <t xml:space="preserve">Allowable Soil Loading Rate </t>
  </si>
  <si>
    <t>QL</t>
  </si>
  <si>
    <t>gpd/sq.ft.</t>
  </si>
  <si>
    <t>=</t>
  </si>
  <si>
    <t>Total length of laterals</t>
  </si>
  <si>
    <t xml:space="preserve">Number of Orifices </t>
  </si>
  <si>
    <t>NO</t>
  </si>
  <si>
    <t>LL/OS</t>
  </si>
  <si>
    <t xml:space="preserve">Total Discharge Rate </t>
  </si>
  <si>
    <t>Qt</t>
  </si>
  <si>
    <t>QO x NO</t>
  </si>
  <si>
    <t>Forcemain Fricton Factor</t>
  </si>
  <si>
    <t>F</t>
  </si>
  <si>
    <t>ft/100 ft</t>
  </si>
  <si>
    <t>Forcemain Headloss</t>
  </si>
  <si>
    <t>(F x LFM/100)</t>
  </si>
  <si>
    <t xml:space="preserve">Elevation Head (gravity) </t>
  </si>
  <si>
    <t>HG</t>
  </si>
  <si>
    <t xml:space="preserve">  E2-E1</t>
  </si>
  <si>
    <t xml:space="preserve">Required Pump </t>
  </si>
  <si>
    <t xml:space="preserve">Capable of pumping at least </t>
  </si>
  <si>
    <t xml:space="preserve">  against a head of</t>
  </si>
  <si>
    <t>feet</t>
  </si>
  <si>
    <t xml:space="preserve">      Pump make</t>
  </si>
  <si>
    <t>Model</t>
  </si>
  <si>
    <t>Control Float Settings</t>
  </si>
  <si>
    <t xml:space="preserve">   Dose Volume </t>
  </si>
  <si>
    <t>Laterals-</t>
  </si>
  <si>
    <t>in.</t>
  </si>
  <si>
    <t>gal/ ft</t>
  </si>
  <si>
    <t>Total length of laterals (L)</t>
  </si>
  <si>
    <t>Total vol in laterals (VL)</t>
  </si>
  <si>
    <t>Forcemain</t>
  </si>
  <si>
    <t xml:space="preserve">Total length forcemain </t>
  </si>
  <si>
    <t>Total vol. in forcemain</t>
  </si>
  <si>
    <t>+</t>
  </si>
  <si>
    <t xml:space="preserve">gal </t>
  </si>
  <si>
    <t xml:space="preserve">Owner: </t>
  </si>
  <si>
    <t xml:space="preserve">Pump Chamber Volume (V) </t>
  </si>
  <si>
    <t xml:space="preserve">gal / ft </t>
  </si>
  <si>
    <t>MinimumDose Volume (D)</t>
  </si>
  <si>
    <t xml:space="preserve">Upper (pump on) float should be </t>
  </si>
  <si>
    <t>ft (D/V)</t>
  </si>
  <si>
    <t>Control &amp; Alarm (make &amp; model)</t>
  </si>
  <si>
    <t>Legal :</t>
  </si>
  <si>
    <t>Address:</t>
  </si>
  <si>
    <t xml:space="preserve">       =       </t>
  </si>
  <si>
    <t>Trench type:</t>
  </si>
  <si>
    <t xml:space="preserve">Design calculations </t>
  </si>
  <si>
    <t xml:space="preserve">       =</t>
  </si>
  <si>
    <t>(&gt; 2.3 ft for 3/16 in. or larger orifices, &gt; 5 ft for orifices&lt; 3/16 in.)</t>
  </si>
  <si>
    <t>Installer</t>
  </si>
  <si>
    <t>Actual Drainfield Design:</t>
  </si>
  <si>
    <t xml:space="preserve">           Number of Laterals</t>
  </si>
  <si>
    <t xml:space="preserve"> Length  each Lateral</t>
  </si>
  <si>
    <t>L1</t>
  </si>
  <si>
    <t>L2</t>
  </si>
  <si>
    <t>L3</t>
  </si>
  <si>
    <t>L4</t>
  </si>
  <si>
    <t>L5</t>
  </si>
  <si>
    <t xml:space="preserve"> Lateral elevation</t>
  </si>
  <si>
    <t xml:space="preserve">              CHAMBER</t>
  </si>
  <si>
    <t>Pipe Vol.</t>
  </si>
  <si>
    <t xml:space="preserve">    ROCK (x for yes)</t>
  </si>
  <si>
    <t>Recd. Date Stamp (FCCHD)</t>
  </si>
  <si>
    <r>
      <t xml:space="preserve">   </t>
    </r>
    <r>
      <rPr>
        <b/>
        <sz val="10"/>
        <rFont val="Arial"/>
        <family val="2"/>
      </rPr>
      <t>PLEASE PROVIDE A SKETCH OF SYSTEM LAYOUT AND PROFILE ON BACK OF THIS SHEET</t>
    </r>
  </si>
  <si>
    <t>in. above "pump off" float</t>
  </si>
  <si>
    <t>Pipe type/class</t>
  </si>
  <si>
    <t>Int. Dia.</t>
  </si>
  <si>
    <t>gal,  (VFM)</t>
  </si>
  <si>
    <t xml:space="preserve">(5x VL)  +  VFM   = </t>
  </si>
  <si>
    <t xml:space="preserve">Total Dynamic Head  (HG + HFM + HO), </t>
  </si>
  <si>
    <t>Required infiltration Area</t>
  </si>
  <si>
    <t xml:space="preserve">   Rock</t>
  </si>
  <si>
    <t>Chamber</t>
  </si>
  <si>
    <t>(sq.ft.)</t>
  </si>
  <si>
    <t>Trench width:</t>
  </si>
  <si>
    <t xml:space="preserve">      select 2 or 3 ft</t>
  </si>
  <si>
    <t xml:space="preserve">          Effective width*</t>
  </si>
  <si>
    <t>L6</t>
  </si>
  <si>
    <t>L7</t>
  </si>
  <si>
    <t>L8</t>
  </si>
  <si>
    <t>L9</t>
  </si>
  <si>
    <t>L10</t>
  </si>
  <si>
    <t>Length</t>
  </si>
  <si>
    <t>Elevation</t>
  </si>
  <si>
    <t>L11</t>
  </si>
  <si>
    <t>L12</t>
  </si>
  <si>
    <t>file: Pump hyd design wksht 5-5-08-computer.xls</t>
  </si>
  <si>
    <t xml:space="preserve">  x for yes</t>
  </si>
  <si>
    <t xml:space="preserve">  Level Two treatment</t>
  </si>
  <si>
    <t>Sch 40</t>
  </si>
  <si>
    <t>x</t>
  </si>
  <si>
    <t>SJE</t>
  </si>
  <si>
    <t>Ashland</t>
  </si>
  <si>
    <t>inches pump chamber required</t>
  </si>
  <si>
    <t>Pump height</t>
  </si>
  <si>
    <t>PUMP DESIGN WORKSHEET - 1/18/19 - 500 gal pump chamber</t>
  </si>
  <si>
    <t>PUMP DESIGN WORKSHEET - 1/18/19 - 832 gal pump chamber</t>
  </si>
  <si>
    <t>PUMP DESIGN WORKSHEET - 1/18/19 - 1000 gal pump chamber</t>
  </si>
  <si>
    <t>EP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</si>
</sst>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?/???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protection locked="0"/>
    </xf>
    <xf numFmtId="1" fontId="1" fillId="3" borderId="2" xfId="0" applyNumberFormat="1" applyFont="1" applyFill="1" applyBorder="1" applyAlignment="1" applyProtection="1">
      <protection locked="0"/>
    </xf>
    <xf numFmtId="4" fontId="1" fillId="3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2" fontId="1" fillId="3" borderId="2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1" fillId="4" borderId="2" xfId="0" applyNumberFormat="1" applyFont="1" applyFill="1" applyBorder="1" applyAlignment="1" applyProtection="1">
      <protection locked="0"/>
    </xf>
    <xf numFmtId="2" fontId="1" fillId="5" borderId="1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1" fontId="6" fillId="0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3" fontId="1" fillId="6" borderId="1" xfId="0" applyNumberFormat="1" applyFont="1" applyFill="1" applyBorder="1" applyAlignment="1" applyProtection="1">
      <alignment horizontal="center"/>
      <protection locked="0"/>
    </xf>
    <xf numFmtId="2" fontId="1" fillId="6" borderId="2" xfId="0" applyNumberFormat="1" applyFont="1" applyFill="1" applyBorder="1" applyAlignment="1" applyProtection="1">
      <protection locked="0"/>
    </xf>
    <xf numFmtId="1" fontId="6" fillId="6" borderId="1" xfId="0" applyNumberFormat="1" applyFont="1" applyFill="1" applyBorder="1" applyAlignment="1" applyProtection="1">
      <protection locked="0"/>
    </xf>
    <xf numFmtId="1" fontId="1" fillId="6" borderId="2" xfId="0" applyNumberFormat="1" applyFont="1" applyFill="1" applyBorder="1" applyAlignment="1" applyProtection="1">
      <protection locked="0"/>
    </xf>
    <xf numFmtId="0" fontId="1" fillId="4" borderId="5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1" fillId="5" borderId="1" xfId="0" applyNumberFormat="1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protection locked="0"/>
    </xf>
    <xf numFmtId="0" fontId="0" fillId="4" borderId="0" xfId="0" applyNumberFormat="1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" fillId="2" borderId="1" xfId="0" quotePrefix="1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7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9693-777E-4152-9F56-5ADECAD2F951}">
  <sheetPr>
    <pageSetUpPr fitToPage="1"/>
  </sheetPr>
  <dimension ref="A1:O61"/>
  <sheetViews>
    <sheetView view="pageBreakPreview" topLeftCell="A40" zoomScaleNormal="75" workbookViewId="0">
      <selection activeCell="I61" sqref="I61"/>
    </sheetView>
  </sheetViews>
  <sheetFormatPr defaultColWidth="8" defaultRowHeight="12.75" x14ac:dyDescent="0.2"/>
  <cols>
    <col min="1" max="1" width="8.5703125" style="1" customWidth="1"/>
    <col min="2" max="2" width="9.140625" style="1" customWidth="1"/>
    <col min="3" max="3" width="27.28515625" style="1" customWidth="1"/>
    <col min="4" max="4" width="8.5703125" style="1" customWidth="1"/>
    <col min="5" max="5" width="7.42578125" style="1" customWidth="1"/>
    <col min="6" max="6" width="9.7109375" style="1" customWidth="1"/>
    <col min="7" max="7" width="8.5703125" style="1" customWidth="1"/>
    <col min="8" max="10" width="8.28515625" style="1" customWidth="1"/>
    <col min="11" max="11" width="7.5703125" style="1" customWidth="1"/>
    <col min="12" max="12" width="10.7109375" style="1" customWidth="1"/>
    <col min="13" max="16384" width="8" style="1"/>
  </cols>
  <sheetData>
    <row r="1" spans="1:9" s="5" customFormat="1" ht="15.75" x14ac:dyDescent="0.25">
      <c r="A1" s="30" t="s">
        <v>126</v>
      </c>
    </row>
    <row r="3" spans="1:9" x14ac:dyDescent="0.2">
      <c r="I3" s="1" t="s">
        <v>91</v>
      </c>
    </row>
    <row r="4" spans="1:9" x14ac:dyDescent="0.2">
      <c r="A4" s="1" t="s">
        <v>64</v>
      </c>
      <c r="B4" s="63">
        <f>'500 gal pump chamber'!B4</f>
        <v>0</v>
      </c>
      <c r="C4" s="17"/>
      <c r="E4" s="1" t="s">
        <v>0</v>
      </c>
      <c r="F4" s="63">
        <f>'500 gal pump chamber'!F4</f>
        <v>0</v>
      </c>
      <c r="G4" s="17"/>
    </row>
    <row r="5" spans="1:9" x14ac:dyDescent="0.2">
      <c r="A5" s="1" t="s">
        <v>72</v>
      </c>
      <c r="B5" s="63">
        <f>'500 gal pump chamber'!B5</f>
        <v>0</v>
      </c>
      <c r="C5" s="64"/>
      <c r="E5" s="1" t="s">
        <v>1</v>
      </c>
      <c r="F5" s="63">
        <f>'500 gal pump chamber'!F5</f>
        <v>0</v>
      </c>
      <c r="G5" s="17"/>
    </row>
    <row r="6" spans="1:9" x14ac:dyDescent="0.2">
      <c r="A6" s="1" t="s">
        <v>71</v>
      </c>
      <c r="B6" s="63">
        <f>'500 gal pump chamber'!B6</f>
        <v>0</v>
      </c>
      <c r="C6" s="64"/>
      <c r="E6" s="1" t="s">
        <v>78</v>
      </c>
      <c r="F6" s="63">
        <f>'500 gal pump chamber'!F6</f>
        <v>0</v>
      </c>
      <c r="G6" s="64"/>
    </row>
    <row r="7" spans="1:9" x14ac:dyDescent="0.2">
      <c r="E7" s="1" t="s">
        <v>1</v>
      </c>
      <c r="F7" s="63">
        <f>'500 gal pump chamber'!F7</f>
        <v>0</v>
      </c>
      <c r="G7" s="17"/>
    </row>
    <row r="8" spans="1:9" x14ac:dyDescent="0.2">
      <c r="A8" s="6" t="s">
        <v>2</v>
      </c>
    </row>
    <row r="9" spans="1:9" x14ac:dyDescent="0.2">
      <c r="A9" s="1" t="s">
        <v>3</v>
      </c>
      <c r="D9" s="13">
        <v>0.15625</v>
      </c>
      <c r="E9" s="1" t="s">
        <v>4</v>
      </c>
      <c r="F9" s="1" t="s">
        <v>5</v>
      </c>
    </row>
    <row r="10" spans="1:9" x14ac:dyDescent="0.2">
      <c r="A10" s="1" t="s">
        <v>6</v>
      </c>
      <c r="D10" s="11">
        <v>5</v>
      </c>
      <c r="E10" s="1" t="s">
        <v>7</v>
      </c>
      <c r="F10" s="1" t="s">
        <v>8</v>
      </c>
    </row>
    <row r="11" spans="1:9" x14ac:dyDescent="0.2">
      <c r="A11" s="1" t="s">
        <v>9</v>
      </c>
      <c r="D11" s="11">
        <v>5</v>
      </c>
      <c r="E11" s="1" t="s">
        <v>10</v>
      </c>
      <c r="F11" s="1" t="s">
        <v>77</v>
      </c>
    </row>
    <row r="12" spans="1:9" x14ac:dyDescent="0.2">
      <c r="A12" s="1" t="s">
        <v>11</v>
      </c>
      <c r="D12" s="25">
        <f>19.6432*0.62*D9*D9*SQRT(D11)</f>
        <v>0.66485812761930663</v>
      </c>
      <c r="E12" s="1" t="s">
        <v>12</v>
      </c>
      <c r="F12" s="1" t="s">
        <v>13</v>
      </c>
    </row>
    <row r="13" spans="1:9" x14ac:dyDescent="0.2">
      <c r="A13" s="1" t="s">
        <v>14</v>
      </c>
      <c r="F13" s="8" t="s">
        <v>15</v>
      </c>
      <c r="G13" s="54">
        <f>'500 gal pump chamber'!G13</f>
        <v>30</v>
      </c>
      <c r="H13" s="1" t="s">
        <v>16</v>
      </c>
    </row>
    <row r="14" spans="1:9" x14ac:dyDescent="0.2">
      <c r="A14" s="1" t="s">
        <v>17</v>
      </c>
      <c r="F14" s="8" t="s">
        <v>18</v>
      </c>
      <c r="G14" s="54">
        <f>'500 gal pump chamber'!G14</f>
        <v>2</v>
      </c>
      <c r="H14" s="1" t="s">
        <v>19</v>
      </c>
    </row>
    <row r="15" spans="1:9" x14ac:dyDescent="0.2">
      <c r="A15" s="1" t="s">
        <v>20</v>
      </c>
      <c r="F15" s="8" t="s">
        <v>21</v>
      </c>
      <c r="G15" s="54">
        <f>'500 gal pump chamber'!G15</f>
        <v>100</v>
      </c>
      <c r="H15" s="1" t="s">
        <v>16</v>
      </c>
    </row>
    <row r="16" spans="1:9" x14ac:dyDescent="0.2">
      <c r="A16" s="1" t="s">
        <v>22</v>
      </c>
      <c r="F16" s="8" t="s">
        <v>23</v>
      </c>
      <c r="G16" s="54">
        <f>'500 gal pump chamber'!G16</f>
        <v>105</v>
      </c>
      <c r="H16" s="1" t="s">
        <v>16</v>
      </c>
    </row>
    <row r="17" spans="1:11" x14ac:dyDescent="0.2">
      <c r="A17" s="1" t="s">
        <v>24</v>
      </c>
      <c r="F17" s="8" t="s">
        <v>25</v>
      </c>
      <c r="G17" s="54">
        <f>'500 gal pump chamber'!G17</f>
        <v>425</v>
      </c>
      <c r="H17" s="1" t="s">
        <v>26</v>
      </c>
      <c r="I17" s="1" t="s">
        <v>117</v>
      </c>
      <c r="K17" s="5"/>
    </row>
    <row r="18" spans="1:11" x14ac:dyDescent="0.2">
      <c r="A18" s="1" t="s">
        <v>27</v>
      </c>
      <c r="F18" s="8" t="s">
        <v>28</v>
      </c>
      <c r="G18" s="54">
        <f>'500 gal pump chamber'!G18</f>
        <v>0.5</v>
      </c>
      <c r="H18" s="1" t="s">
        <v>29</v>
      </c>
      <c r="I18" s="1" t="s">
        <v>116</v>
      </c>
      <c r="J18" s="33"/>
      <c r="K18" s="48">
        <f>IF(J18="x",G18/0.5,G18)</f>
        <v>0.5</v>
      </c>
    </row>
    <row r="19" spans="1:11" x14ac:dyDescent="0.2">
      <c r="B19" s="1" t="s">
        <v>74</v>
      </c>
      <c r="D19" s="10" t="s">
        <v>90</v>
      </c>
      <c r="E19" s="5"/>
      <c r="F19" s="56" t="s">
        <v>119</v>
      </c>
      <c r="G19" s="10" t="s">
        <v>88</v>
      </c>
      <c r="I19" s="52"/>
    </row>
    <row r="20" spans="1:11" x14ac:dyDescent="0.2">
      <c r="B20" s="1" t="s">
        <v>103</v>
      </c>
      <c r="D20" s="1" t="s">
        <v>104</v>
      </c>
      <c r="F20" s="51">
        <v>3</v>
      </c>
      <c r="G20" s="1" t="s">
        <v>105</v>
      </c>
      <c r="I20" s="51">
        <f>F20</f>
        <v>3</v>
      </c>
    </row>
    <row r="21" spans="1:11" x14ac:dyDescent="0.2">
      <c r="A21" s="4" t="s">
        <v>75</v>
      </c>
      <c r="F21" s="38"/>
    </row>
    <row r="22" spans="1:11" x14ac:dyDescent="0.2">
      <c r="B22" s="1" t="s">
        <v>99</v>
      </c>
      <c r="D22" s="1" t="s">
        <v>102</v>
      </c>
      <c r="E22" s="1" t="s">
        <v>100</v>
      </c>
      <c r="F22" s="40">
        <f>G17/K18</f>
        <v>850</v>
      </c>
      <c r="H22" s="1" t="s">
        <v>101</v>
      </c>
      <c r="I22" s="40">
        <f>F22*0.75</f>
        <v>637.5</v>
      </c>
    </row>
    <row r="23" spans="1:11" x14ac:dyDescent="0.2">
      <c r="B23" s="1" t="s">
        <v>31</v>
      </c>
      <c r="F23" s="40">
        <f>F22/F20</f>
        <v>283.33333333333331</v>
      </c>
      <c r="I23" s="40">
        <f>I22/I20</f>
        <v>212.5</v>
      </c>
    </row>
    <row r="24" spans="1:11" x14ac:dyDescent="0.2">
      <c r="D24" s="8"/>
      <c r="E24" s="5" t="s">
        <v>30</v>
      </c>
      <c r="F24" s="3"/>
      <c r="G24" s="39"/>
    </row>
    <row r="25" spans="1:11" x14ac:dyDescent="0.2">
      <c r="A25" s="1" t="s">
        <v>32</v>
      </c>
      <c r="D25" s="8" t="s">
        <v>33</v>
      </c>
      <c r="E25" s="5" t="s">
        <v>30</v>
      </c>
      <c r="F25" s="3" t="s">
        <v>34</v>
      </c>
      <c r="G25" s="18">
        <f>IF(F19="x",F23/D10,I23/D10)</f>
        <v>56.666666666666664</v>
      </c>
    </row>
    <row r="26" spans="1:11" x14ac:dyDescent="0.2">
      <c r="A26" s="1" t="s">
        <v>35</v>
      </c>
      <c r="D26" s="8" t="s">
        <v>36</v>
      </c>
      <c r="E26" s="5" t="s">
        <v>30</v>
      </c>
      <c r="F26" s="3" t="s">
        <v>37</v>
      </c>
      <c r="G26" s="18">
        <f>G25*D12</f>
        <v>37.675293898427377</v>
      </c>
      <c r="H26" s="1" t="s">
        <v>12</v>
      </c>
    </row>
    <row r="27" spans="1:11" x14ac:dyDescent="0.2">
      <c r="A27" s="1" t="s">
        <v>38</v>
      </c>
      <c r="C27" s="10"/>
      <c r="D27" s="8"/>
      <c r="F27" s="5" t="s">
        <v>39</v>
      </c>
      <c r="G27" s="25">
        <f>4.727*100*EXP(1.85*LN(0.002228*G26/140))/(EXP(4.87*LN(G14/12)))</f>
        <v>3.1856145117839261</v>
      </c>
      <c r="H27" s="1" t="s">
        <v>40</v>
      </c>
    </row>
    <row r="28" spans="1:11" x14ac:dyDescent="0.2">
      <c r="A28" s="1" t="s">
        <v>41</v>
      </c>
      <c r="D28" s="16" t="s">
        <v>42</v>
      </c>
      <c r="G28" s="37">
        <f>G13*G27/100</f>
        <v>0.95568435353517789</v>
      </c>
      <c r="H28" s="1" t="s">
        <v>16</v>
      </c>
    </row>
    <row r="29" spans="1:11" x14ac:dyDescent="0.2">
      <c r="A29" s="1" t="s">
        <v>43</v>
      </c>
      <c r="D29" s="9" t="s">
        <v>44</v>
      </c>
      <c r="E29" s="10" t="s">
        <v>73</v>
      </c>
      <c r="F29" s="1" t="s">
        <v>45</v>
      </c>
      <c r="G29" s="36">
        <f>G16-G15</f>
        <v>5</v>
      </c>
      <c r="H29" s="10" t="s">
        <v>16</v>
      </c>
    </row>
    <row r="30" spans="1:11" x14ac:dyDescent="0.2">
      <c r="A30" s="1" t="s">
        <v>98</v>
      </c>
      <c r="G30" s="21">
        <f>D11+G28+G29</f>
        <v>10.955684353535178</v>
      </c>
      <c r="H30" s="12"/>
      <c r="K30" s="14"/>
    </row>
    <row r="31" spans="1:11" x14ac:dyDescent="0.2">
      <c r="G31" s="22"/>
      <c r="H31" s="12"/>
      <c r="K31" s="14"/>
    </row>
    <row r="32" spans="1:11" ht="14.25" customHeight="1" x14ac:dyDescent="0.2">
      <c r="A32" s="6" t="s">
        <v>46</v>
      </c>
      <c r="F32" s="3"/>
      <c r="G32" s="8"/>
      <c r="J32" s="8"/>
    </row>
    <row r="33" spans="1:12" ht="14.45" customHeight="1" x14ac:dyDescent="0.2">
      <c r="A33" s="7" t="s">
        <v>47</v>
      </c>
      <c r="D33" s="41">
        <f>G26</f>
        <v>37.675293898427377</v>
      </c>
      <c r="E33" s="1" t="s">
        <v>12</v>
      </c>
      <c r="F33" s="10" t="s">
        <v>48</v>
      </c>
      <c r="H33" s="42">
        <f>G30</f>
        <v>10.955684353535178</v>
      </c>
      <c r="I33" s="1" t="s">
        <v>49</v>
      </c>
      <c r="J33" s="8"/>
    </row>
    <row r="34" spans="1:12" x14ac:dyDescent="0.2">
      <c r="D34" s="1" t="s">
        <v>50</v>
      </c>
      <c r="F34" s="54" t="s">
        <v>121</v>
      </c>
      <c r="G34" s="1" t="s">
        <v>51</v>
      </c>
      <c r="H34" s="54" t="str">
        <f>'500 gal pump chamber'!H34</f>
        <v>EP 40</v>
      </c>
      <c r="J34" s="8"/>
    </row>
    <row r="35" spans="1:12" x14ac:dyDescent="0.2">
      <c r="J35" s="8"/>
    </row>
    <row r="36" spans="1:12" x14ac:dyDescent="0.2">
      <c r="A36" s="28" t="s">
        <v>79</v>
      </c>
      <c r="F36" s="3"/>
      <c r="G36" s="5" t="s">
        <v>82</v>
      </c>
      <c r="H36" s="5" t="s">
        <v>83</v>
      </c>
      <c r="I36" s="5" t="s">
        <v>84</v>
      </c>
      <c r="J36" s="29" t="s">
        <v>85</v>
      </c>
      <c r="K36" s="5" t="s">
        <v>86</v>
      </c>
      <c r="L36" s="5" t="s">
        <v>106</v>
      </c>
    </row>
    <row r="37" spans="1:12" x14ac:dyDescent="0.2">
      <c r="B37" s="1" t="s">
        <v>80</v>
      </c>
      <c r="D37" s="32">
        <f>COUNTIF(G37:L37,"&gt;0")+COUNTIF(G40:L40,"&gt;0")</f>
        <v>3</v>
      </c>
      <c r="E37" s="1" t="s">
        <v>81</v>
      </c>
      <c r="G37" s="33">
        <f>'500 gal pump chamber'!G37</f>
        <v>95</v>
      </c>
      <c r="H37" s="33">
        <f>'500 gal pump chamber'!H37</f>
        <v>95</v>
      </c>
      <c r="I37" s="33">
        <f>'500 gal pump chamber'!I37</f>
        <v>95</v>
      </c>
      <c r="J37" s="33">
        <f>'500 gal pump chamber'!J37</f>
        <v>0</v>
      </c>
      <c r="K37" s="33">
        <f>'500 gal pump chamber'!K37</f>
        <v>0</v>
      </c>
      <c r="L37" s="33">
        <f>'500 gal pump chamber'!L37</f>
        <v>0</v>
      </c>
    </row>
    <row r="38" spans="1:12" x14ac:dyDescent="0.2">
      <c r="E38" s="31" t="s">
        <v>87</v>
      </c>
      <c r="G38" s="60">
        <f t="shared" ref="G38:J38" si="0">IF(ISBLANK(G37)=TRUE,"",$G$16)</f>
        <v>105</v>
      </c>
      <c r="H38" s="60">
        <f t="shared" si="0"/>
        <v>105</v>
      </c>
      <c r="I38" s="60">
        <f t="shared" si="0"/>
        <v>105</v>
      </c>
      <c r="J38" s="60">
        <f t="shared" si="0"/>
        <v>105</v>
      </c>
      <c r="K38" s="60">
        <f t="shared" ref="K38:L38" si="1">IF(ISBLANK(K37)=TRUE,"",$G$16)</f>
        <v>105</v>
      </c>
      <c r="L38" s="60">
        <f t="shared" si="1"/>
        <v>105</v>
      </c>
    </row>
    <row r="39" spans="1:12" x14ac:dyDescent="0.2">
      <c r="E39" s="31"/>
      <c r="G39" s="5" t="s">
        <v>107</v>
      </c>
      <c r="H39" s="5" t="s">
        <v>108</v>
      </c>
      <c r="I39" s="5" t="s">
        <v>109</v>
      </c>
      <c r="J39" s="5" t="s">
        <v>110</v>
      </c>
      <c r="K39" s="5" t="s">
        <v>113</v>
      </c>
      <c r="L39" s="5" t="s">
        <v>114</v>
      </c>
    </row>
    <row r="40" spans="1:12" x14ac:dyDescent="0.2">
      <c r="A40" s="6" t="s">
        <v>52</v>
      </c>
      <c r="F40" s="1" t="s">
        <v>111</v>
      </c>
      <c r="G40" s="33">
        <f>'500 gal pump chamber'!G40</f>
        <v>0</v>
      </c>
      <c r="H40" s="33">
        <f>'500 gal pump chamber'!H40</f>
        <v>0</v>
      </c>
      <c r="I40" s="33"/>
      <c r="J40" s="33"/>
      <c r="K40" s="47"/>
      <c r="L40" s="33"/>
    </row>
    <row r="41" spans="1:12" x14ac:dyDescent="0.2">
      <c r="B41" s="1" t="s">
        <v>53</v>
      </c>
      <c r="F41" s="1" t="s">
        <v>112</v>
      </c>
      <c r="G41" s="60">
        <f t="shared" ref="G41:H41" si="2">IF(ISBLANK(G40)=TRUE,"",$G$16)</f>
        <v>105</v>
      </c>
      <c r="H41" s="60">
        <f t="shared" si="2"/>
        <v>105</v>
      </c>
      <c r="I41" s="33"/>
      <c r="J41" s="46"/>
      <c r="K41" s="33"/>
      <c r="L41" s="33"/>
    </row>
    <row r="42" spans="1:12" x14ac:dyDescent="0.2">
      <c r="C42" s="1" t="s">
        <v>54</v>
      </c>
    </row>
    <row r="43" spans="1:12" x14ac:dyDescent="0.2">
      <c r="C43" s="1" t="s">
        <v>94</v>
      </c>
      <c r="D43" s="54" t="s">
        <v>118</v>
      </c>
      <c r="E43" s="1" t="s">
        <v>95</v>
      </c>
      <c r="F43" s="23">
        <v>1.61</v>
      </c>
      <c r="G43" s="1" t="s">
        <v>55</v>
      </c>
      <c r="H43" s="1" t="s">
        <v>89</v>
      </c>
      <c r="I43" s="53">
        <f>3.1416*F43*F43*0.004329*3</f>
        <v>0.10575757424232002</v>
      </c>
      <c r="J43" s="1" t="s">
        <v>56</v>
      </c>
    </row>
    <row r="44" spans="1:12" x14ac:dyDescent="0.2">
      <c r="C44" s="1" t="s">
        <v>57</v>
      </c>
      <c r="F44" s="45">
        <f>G37+H37+I37+J37+K37+L37+G40+H40+I40+J40+K40+L40</f>
        <v>285</v>
      </c>
      <c r="G44" s="1" t="s">
        <v>16</v>
      </c>
    </row>
    <row r="45" spans="1:12" x14ac:dyDescent="0.2">
      <c r="C45" s="1" t="s">
        <v>58</v>
      </c>
      <c r="D45" s="20"/>
      <c r="F45" s="19">
        <f>F44*I43</f>
        <v>30.140908659061203</v>
      </c>
    </row>
    <row r="47" spans="1:12" x14ac:dyDescent="0.2">
      <c r="A47" s="2"/>
      <c r="C47" s="1" t="s">
        <v>59</v>
      </c>
    </row>
    <row r="48" spans="1:12" x14ac:dyDescent="0.2">
      <c r="C48" s="1" t="s">
        <v>94</v>
      </c>
      <c r="D48" s="55" t="s">
        <v>118</v>
      </c>
      <c r="E48" s="1" t="s">
        <v>95</v>
      </c>
      <c r="F48" s="26">
        <v>2.0670000000000002</v>
      </c>
      <c r="G48" s="1" t="s">
        <v>55</v>
      </c>
      <c r="H48" s="1" t="s">
        <v>89</v>
      </c>
      <c r="I48" s="53">
        <f>3.1416*F48*F48*0.004329*3</f>
        <v>0.17431737688244883</v>
      </c>
      <c r="J48" s="1" t="s">
        <v>56</v>
      </c>
    </row>
    <row r="49" spans="1:15" x14ac:dyDescent="0.2">
      <c r="C49" s="1" t="s">
        <v>60</v>
      </c>
      <c r="F49" s="17">
        <f>G13</f>
        <v>30</v>
      </c>
      <c r="G49" s="1" t="s">
        <v>10</v>
      </c>
    </row>
    <row r="50" spans="1:15" x14ac:dyDescent="0.2">
      <c r="B50" s="1" t="s">
        <v>61</v>
      </c>
      <c r="F50" s="21">
        <f>F49*I48</f>
        <v>5.2295213064734654</v>
      </c>
      <c r="G50" s="1" t="s">
        <v>96</v>
      </c>
      <c r="K50" s="6"/>
    </row>
    <row r="52" spans="1:15" x14ac:dyDescent="0.2">
      <c r="A52" s="2"/>
      <c r="B52" s="1" t="s">
        <v>97</v>
      </c>
      <c r="D52" s="27">
        <f>5*F45</f>
        <v>150.70454329530602</v>
      </c>
      <c r="E52" s="5" t="s">
        <v>62</v>
      </c>
      <c r="F52" s="27">
        <f>F50</f>
        <v>5.2295213064734654</v>
      </c>
      <c r="G52" s="5" t="s">
        <v>30</v>
      </c>
      <c r="H52" s="27">
        <f>D52+F52</f>
        <v>155.93406460177948</v>
      </c>
      <c r="I52" s="1" t="s">
        <v>63</v>
      </c>
    </row>
    <row r="54" spans="1:15" x14ac:dyDescent="0.2">
      <c r="B54" s="1" t="s">
        <v>65</v>
      </c>
      <c r="E54" s="11">
        <v>264</v>
      </c>
      <c r="F54" s="1" t="s">
        <v>66</v>
      </c>
    </row>
    <row r="55" spans="1:15" x14ac:dyDescent="0.2">
      <c r="B55" s="1" t="s">
        <v>67</v>
      </c>
      <c r="E55" s="15">
        <f>H52</f>
        <v>155.93406460177948</v>
      </c>
      <c r="F55" s="1" t="s">
        <v>63</v>
      </c>
    </row>
    <row r="56" spans="1:15" x14ac:dyDescent="0.2">
      <c r="B56" s="1" t="s">
        <v>68</v>
      </c>
      <c r="E56" s="43">
        <f>E55/E54</f>
        <v>0.59065933561280104</v>
      </c>
      <c r="F56" s="1" t="s">
        <v>69</v>
      </c>
      <c r="G56" s="1" t="s">
        <v>76</v>
      </c>
      <c r="H56" s="44">
        <f>E56*12</f>
        <v>7.087912027353612</v>
      </c>
      <c r="I56" s="1" t="s">
        <v>93</v>
      </c>
    </row>
    <row r="57" spans="1:15" x14ac:dyDescent="0.2">
      <c r="B57" s="1" t="s">
        <v>70</v>
      </c>
      <c r="E57" s="54" t="s">
        <v>120</v>
      </c>
    </row>
    <row r="58" spans="1:15" x14ac:dyDescent="0.2">
      <c r="I58" s="57"/>
    </row>
    <row r="59" spans="1:15" ht="15.75" x14ac:dyDescent="0.25">
      <c r="A59" s="34" t="s">
        <v>92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x14ac:dyDescent="0.2">
      <c r="D60" s="58" t="s">
        <v>123</v>
      </c>
      <c r="E60" s="1">
        <v>18.2</v>
      </c>
      <c r="H60" s="57">
        <f>E60+2.5+H56+G17*0.25/E54*12</f>
        <v>32.617457481899066</v>
      </c>
      <c r="I60" s="58" t="s">
        <v>122</v>
      </c>
    </row>
    <row r="61" spans="1:15" x14ac:dyDescent="0.2">
      <c r="B61" s="1" t="s">
        <v>115</v>
      </c>
      <c r="I61" s="1" t="str">
        <f>IF(H60&lt;46,"1000 Gallon pump chamber OK", "The 1000 gal pump chamber is INADEQUATE")</f>
        <v>1000 Gallon pump chamber OK</v>
      </c>
    </row>
  </sheetData>
  <pageMargins left="0.3" right="0.25" top="0.25" bottom="0.25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CF5E-EE7B-44B2-854C-BD5C2F09AAAB}">
  <sheetPr>
    <pageSetUpPr fitToPage="1"/>
  </sheetPr>
  <dimension ref="A1:O61"/>
  <sheetViews>
    <sheetView view="pageBreakPreview" topLeftCell="A19" zoomScaleNormal="75" workbookViewId="0">
      <selection activeCell="L41" sqref="L41"/>
    </sheetView>
  </sheetViews>
  <sheetFormatPr defaultColWidth="8" defaultRowHeight="12.75" x14ac:dyDescent="0.2"/>
  <cols>
    <col min="1" max="1" width="8.5703125" style="1" customWidth="1"/>
    <col min="2" max="2" width="9.140625" style="1" customWidth="1"/>
    <col min="3" max="3" width="27.28515625" style="1" customWidth="1"/>
    <col min="4" max="4" width="8.5703125" style="1" customWidth="1"/>
    <col min="5" max="5" width="7.42578125" style="1" customWidth="1"/>
    <col min="6" max="6" width="9.7109375" style="1" customWidth="1"/>
    <col min="7" max="7" width="8.5703125" style="1" customWidth="1"/>
    <col min="8" max="10" width="8.28515625" style="1" customWidth="1"/>
    <col min="11" max="11" width="7.5703125" style="1" customWidth="1"/>
    <col min="12" max="12" width="10.7109375" style="1" customWidth="1"/>
    <col min="13" max="16384" width="8" style="1"/>
  </cols>
  <sheetData>
    <row r="1" spans="1:9" s="5" customFormat="1" ht="15.75" x14ac:dyDescent="0.25">
      <c r="A1" s="30" t="s">
        <v>125</v>
      </c>
    </row>
    <row r="3" spans="1:9" x14ac:dyDescent="0.2">
      <c r="I3" s="1" t="s">
        <v>91</v>
      </c>
    </row>
    <row r="4" spans="1:9" x14ac:dyDescent="0.2">
      <c r="A4" s="1" t="s">
        <v>64</v>
      </c>
      <c r="B4" s="63">
        <f>'500 gal pump chamber'!B4</f>
        <v>0</v>
      </c>
      <c r="C4" s="17"/>
      <c r="E4" s="1" t="s">
        <v>0</v>
      </c>
      <c r="F4" s="63">
        <f>'500 gal pump chamber'!F4</f>
        <v>0</v>
      </c>
      <c r="G4" s="17"/>
    </row>
    <row r="5" spans="1:9" x14ac:dyDescent="0.2">
      <c r="A5" s="1" t="s">
        <v>72</v>
      </c>
      <c r="B5" s="63">
        <f>'500 gal pump chamber'!B5</f>
        <v>0</v>
      </c>
      <c r="C5" s="64"/>
      <c r="E5" s="1" t="s">
        <v>1</v>
      </c>
      <c r="F5" s="63">
        <f>'500 gal pump chamber'!F5</f>
        <v>0</v>
      </c>
      <c r="G5" s="17"/>
    </row>
    <row r="6" spans="1:9" x14ac:dyDescent="0.2">
      <c r="A6" s="1" t="s">
        <v>71</v>
      </c>
      <c r="B6" s="63">
        <f>'500 gal pump chamber'!B6</f>
        <v>0</v>
      </c>
      <c r="C6" s="64"/>
      <c r="E6" s="1" t="s">
        <v>78</v>
      </c>
      <c r="F6" s="63">
        <f>'500 gal pump chamber'!F6</f>
        <v>0</v>
      </c>
      <c r="G6" s="64"/>
    </row>
    <row r="7" spans="1:9" x14ac:dyDescent="0.2">
      <c r="E7" s="1" t="s">
        <v>1</v>
      </c>
      <c r="F7" s="63">
        <f>'500 gal pump chamber'!F7</f>
        <v>0</v>
      </c>
      <c r="G7" s="17"/>
    </row>
    <row r="8" spans="1:9" x14ac:dyDescent="0.2">
      <c r="A8" s="6" t="s">
        <v>2</v>
      </c>
    </row>
    <row r="9" spans="1:9" x14ac:dyDescent="0.2">
      <c r="A9" s="1" t="s">
        <v>3</v>
      </c>
      <c r="D9" s="13">
        <v>0.15625</v>
      </c>
      <c r="E9" s="1" t="s">
        <v>4</v>
      </c>
      <c r="F9" s="1" t="s">
        <v>5</v>
      </c>
    </row>
    <row r="10" spans="1:9" x14ac:dyDescent="0.2">
      <c r="A10" s="1" t="s">
        <v>6</v>
      </c>
      <c r="D10" s="11">
        <v>5</v>
      </c>
      <c r="E10" s="1" t="s">
        <v>7</v>
      </c>
      <c r="F10" s="1" t="s">
        <v>8</v>
      </c>
    </row>
    <row r="11" spans="1:9" x14ac:dyDescent="0.2">
      <c r="A11" s="1" t="s">
        <v>9</v>
      </c>
      <c r="D11" s="11">
        <v>5</v>
      </c>
      <c r="E11" s="1" t="s">
        <v>10</v>
      </c>
      <c r="F11" s="1" t="s">
        <v>77</v>
      </c>
    </row>
    <row r="12" spans="1:9" x14ac:dyDescent="0.2">
      <c r="A12" s="1" t="s">
        <v>11</v>
      </c>
      <c r="D12" s="25">
        <f>19.6432*0.62*D9*D9*SQRT(D11)</f>
        <v>0.66485812761930663</v>
      </c>
      <c r="E12" s="1" t="s">
        <v>12</v>
      </c>
      <c r="F12" s="1" t="s">
        <v>13</v>
      </c>
    </row>
    <row r="13" spans="1:9" x14ac:dyDescent="0.2">
      <c r="A13" s="1" t="s">
        <v>14</v>
      </c>
      <c r="F13" s="8" t="s">
        <v>15</v>
      </c>
      <c r="G13" s="54">
        <f>'500 gal pump chamber'!G13</f>
        <v>30</v>
      </c>
      <c r="H13" s="1" t="s">
        <v>16</v>
      </c>
    </row>
    <row r="14" spans="1:9" x14ac:dyDescent="0.2">
      <c r="A14" s="1" t="s">
        <v>17</v>
      </c>
      <c r="F14" s="8" t="s">
        <v>18</v>
      </c>
      <c r="G14" s="54">
        <f>'500 gal pump chamber'!G14</f>
        <v>2</v>
      </c>
      <c r="H14" s="1" t="s">
        <v>19</v>
      </c>
    </row>
    <row r="15" spans="1:9" x14ac:dyDescent="0.2">
      <c r="A15" s="1" t="s">
        <v>20</v>
      </c>
      <c r="F15" s="8" t="s">
        <v>21</v>
      </c>
      <c r="G15" s="54">
        <f>'500 gal pump chamber'!G15</f>
        <v>100</v>
      </c>
      <c r="H15" s="1" t="s">
        <v>16</v>
      </c>
    </row>
    <row r="16" spans="1:9" x14ac:dyDescent="0.2">
      <c r="A16" s="1" t="s">
        <v>22</v>
      </c>
      <c r="F16" s="8" t="s">
        <v>23</v>
      </c>
      <c r="G16" s="54">
        <f>'500 gal pump chamber'!G16</f>
        <v>105</v>
      </c>
      <c r="H16" s="1" t="s">
        <v>16</v>
      </c>
    </row>
    <row r="17" spans="1:11" x14ac:dyDescent="0.2">
      <c r="A17" s="1" t="s">
        <v>24</v>
      </c>
      <c r="F17" s="8" t="s">
        <v>25</v>
      </c>
      <c r="G17" s="54">
        <f>'500 gal pump chamber'!G17</f>
        <v>425</v>
      </c>
      <c r="H17" s="1" t="s">
        <v>26</v>
      </c>
      <c r="I17" s="1" t="s">
        <v>117</v>
      </c>
      <c r="K17" s="5"/>
    </row>
    <row r="18" spans="1:11" x14ac:dyDescent="0.2">
      <c r="A18" s="1" t="s">
        <v>27</v>
      </c>
      <c r="F18" s="8" t="s">
        <v>28</v>
      </c>
      <c r="G18" s="54">
        <f>'500 gal pump chamber'!G18</f>
        <v>0.5</v>
      </c>
      <c r="H18" s="1" t="s">
        <v>29</v>
      </c>
      <c r="I18" s="1" t="s">
        <v>116</v>
      </c>
      <c r="J18" s="33"/>
      <c r="K18" s="48">
        <f>IF(J18="x",G18/0.5,G18)</f>
        <v>0.5</v>
      </c>
    </row>
    <row r="19" spans="1:11" x14ac:dyDescent="0.2">
      <c r="B19" s="1" t="s">
        <v>74</v>
      </c>
      <c r="D19" s="10" t="s">
        <v>90</v>
      </c>
      <c r="E19" s="5"/>
      <c r="F19" s="56" t="s">
        <v>119</v>
      </c>
      <c r="G19" s="10" t="s">
        <v>88</v>
      </c>
      <c r="I19" s="52"/>
    </row>
    <row r="20" spans="1:11" x14ac:dyDescent="0.2">
      <c r="B20" s="1" t="s">
        <v>103</v>
      </c>
      <c r="D20" s="1" t="s">
        <v>104</v>
      </c>
      <c r="F20" s="51">
        <v>3</v>
      </c>
      <c r="G20" s="1" t="s">
        <v>105</v>
      </c>
      <c r="I20" s="51">
        <f>F20</f>
        <v>3</v>
      </c>
    </row>
    <row r="21" spans="1:11" x14ac:dyDescent="0.2">
      <c r="A21" s="4" t="s">
        <v>75</v>
      </c>
      <c r="F21" s="38"/>
    </row>
    <row r="22" spans="1:11" x14ac:dyDescent="0.2">
      <c r="B22" s="1" t="s">
        <v>99</v>
      </c>
      <c r="D22" s="1" t="s">
        <v>102</v>
      </c>
      <c r="E22" s="1" t="s">
        <v>100</v>
      </c>
      <c r="F22" s="40">
        <f>G17/K18</f>
        <v>850</v>
      </c>
      <c r="H22" s="1" t="s">
        <v>101</v>
      </c>
      <c r="I22" s="40">
        <f>F22*0.75</f>
        <v>637.5</v>
      </c>
    </row>
    <row r="23" spans="1:11" x14ac:dyDescent="0.2">
      <c r="B23" s="1" t="s">
        <v>31</v>
      </c>
      <c r="F23" s="40">
        <f>F22/F20</f>
        <v>283.33333333333331</v>
      </c>
      <c r="I23" s="40">
        <f>I22/I20</f>
        <v>212.5</v>
      </c>
    </row>
    <row r="24" spans="1:11" x14ac:dyDescent="0.2">
      <c r="D24" s="8"/>
      <c r="E24" s="5" t="s">
        <v>30</v>
      </c>
      <c r="F24" s="3"/>
      <c r="G24" s="39"/>
    </row>
    <row r="25" spans="1:11" x14ac:dyDescent="0.2">
      <c r="A25" s="1" t="s">
        <v>32</v>
      </c>
      <c r="D25" s="8" t="s">
        <v>33</v>
      </c>
      <c r="E25" s="5" t="s">
        <v>30</v>
      </c>
      <c r="F25" s="3" t="s">
        <v>34</v>
      </c>
      <c r="G25" s="18">
        <f>IF(F19="x",F23/D10,I23/D10)</f>
        <v>56.666666666666664</v>
      </c>
    </row>
    <row r="26" spans="1:11" x14ac:dyDescent="0.2">
      <c r="A26" s="1" t="s">
        <v>35</v>
      </c>
      <c r="D26" s="8" t="s">
        <v>36</v>
      </c>
      <c r="E26" s="5" t="s">
        <v>30</v>
      </c>
      <c r="F26" s="3" t="s">
        <v>37</v>
      </c>
      <c r="G26" s="18">
        <f>G25*D12</f>
        <v>37.675293898427377</v>
      </c>
      <c r="H26" s="1" t="s">
        <v>12</v>
      </c>
    </row>
    <row r="27" spans="1:11" x14ac:dyDescent="0.2">
      <c r="A27" s="1" t="s">
        <v>38</v>
      </c>
      <c r="C27" s="10"/>
      <c r="D27" s="8"/>
      <c r="F27" s="5" t="s">
        <v>39</v>
      </c>
      <c r="G27" s="25">
        <f>4.727*100*EXP(1.85*LN(0.002228*G26/140))/(EXP(4.87*LN(G14/12)))</f>
        <v>3.1856145117839261</v>
      </c>
      <c r="H27" s="1" t="s">
        <v>40</v>
      </c>
    </row>
    <row r="28" spans="1:11" x14ac:dyDescent="0.2">
      <c r="A28" s="1" t="s">
        <v>41</v>
      </c>
      <c r="D28" s="16" t="s">
        <v>42</v>
      </c>
      <c r="G28" s="37">
        <f>G13*G27/100</f>
        <v>0.95568435353517789</v>
      </c>
      <c r="H28" s="1" t="s">
        <v>16</v>
      </c>
    </row>
    <row r="29" spans="1:11" x14ac:dyDescent="0.2">
      <c r="A29" s="1" t="s">
        <v>43</v>
      </c>
      <c r="D29" s="9" t="s">
        <v>44</v>
      </c>
      <c r="E29" s="10" t="s">
        <v>73</v>
      </c>
      <c r="F29" s="1" t="s">
        <v>45</v>
      </c>
      <c r="G29" s="36">
        <f>G16-G15</f>
        <v>5</v>
      </c>
      <c r="H29" s="10" t="s">
        <v>16</v>
      </c>
    </row>
    <row r="30" spans="1:11" x14ac:dyDescent="0.2">
      <c r="A30" s="1" t="s">
        <v>98</v>
      </c>
      <c r="G30" s="21">
        <f>D11+G28+G29</f>
        <v>10.955684353535178</v>
      </c>
      <c r="H30" s="12"/>
      <c r="K30" s="14"/>
    </row>
    <row r="31" spans="1:11" x14ac:dyDescent="0.2">
      <c r="G31" s="22"/>
      <c r="H31" s="12"/>
      <c r="K31" s="14"/>
    </row>
    <row r="32" spans="1:11" ht="14.25" customHeight="1" x14ac:dyDescent="0.2">
      <c r="A32" s="6" t="s">
        <v>46</v>
      </c>
      <c r="F32" s="3"/>
      <c r="G32" s="8"/>
      <c r="J32" s="8"/>
    </row>
    <row r="33" spans="1:12" ht="14.45" customHeight="1" x14ac:dyDescent="0.2">
      <c r="A33" s="7" t="s">
        <v>47</v>
      </c>
      <c r="D33" s="41">
        <f>G26</f>
        <v>37.675293898427377</v>
      </c>
      <c r="E33" s="1" t="s">
        <v>12</v>
      </c>
      <c r="F33" s="10" t="s">
        <v>48</v>
      </c>
      <c r="H33" s="42">
        <f>G30</f>
        <v>10.955684353535178</v>
      </c>
      <c r="I33" s="1" t="s">
        <v>49</v>
      </c>
      <c r="J33" s="8"/>
    </row>
    <row r="34" spans="1:12" x14ac:dyDescent="0.2">
      <c r="D34" s="1" t="s">
        <v>50</v>
      </c>
      <c r="F34" s="54" t="s">
        <v>121</v>
      </c>
      <c r="G34" s="1" t="s">
        <v>51</v>
      </c>
      <c r="H34" s="54" t="str">
        <f>'500 gal pump chamber'!H34</f>
        <v>EP 40</v>
      </c>
      <c r="J34" s="8"/>
    </row>
    <row r="35" spans="1:12" x14ac:dyDescent="0.2">
      <c r="J35" s="8"/>
    </row>
    <row r="36" spans="1:12" x14ac:dyDescent="0.2">
      <c r="A36" s="28" t="s">
        <v>79</v>
      </c>
      <c r="F36" s="3"/>
      <c r="G36" s="5" t="s">
        <v>82</v>
      </c>
      <c r="H36" s="5" t="s">
        <v>83</v>
      </c>
      <c r="I36" s="5" t="s">
        <v>84</v>
      </c>
      <c r="J36" s="29" t="s">
        <v>85</v>
      </c>
      <c r="K36" s="5" t="s">
        <v>86</v>
      </c>
      <c r="L36" s="5" t="s">
        <v>106</v>
      </c>
    </row>
    <row r="37" spans="1:12" x14ac:dyDescent="0.2">
      <c r="B37" s="1" t="s">
        <v>80</v>
      </c>
      <c r="D37" s="32">
        <f>COUNTIF(G37:L37,"&gt;0")+COUNTIF(G40:L40,"&gt;0")</f>
        <v>3</v>
      </c>
      <c r="E37" s="1" t="s">
        <v>81</v>
      </c>
      <c r="G37" s="33">
        <f>'500 gal pump chamber'!G37</f>
        <v>95</v>
      </c>
      <c r="H37" s="33">
        <f>'500 gal pump chamber'!H37</f>
        <v>95</v>
      </c>
      <c r="I37" s="33">
        <f>'500 gal pump chamber'!I37</f>
        <v>95</v>
      </c>
      <c r="J37" s="33">
        <f>'500 gal pump chamber'!J37</f>
        <v>0</v>
      </c>
      <c r="K37" s="33">
        <f>'500 gal pump chamber'!K37</f>
        <v>0</v>
      </c>
      <c r="L37" s="33">
        <f>'500 gal pump chamber'!L37</f>
        <v>0</v>
      </c>
    </row>
    <row r="38" spans="1:12" x14ac:dyDescent="0.2">
      <c r="E38" s="31" t="s">
        <v>87</v>
      </c>
      <c r="G38" s="60">
        <f t="shared" ref="G38:J38" si="0">IF(ISBLANK(G37)=TRUE,"",$G$16)</f>
        <v>105</v>
      </c>
      <c r="H38" s="60">
        <f t="shared" si="0"/>
        <v>105</v>
      </c>
      <c r="I38" s="60">
        <f t="shared" si="0"/>
        <v>105</v>
      </c>
      <c r="J38" s="60">
        <f t="shared" si="0"/>
        <v>105</v>
      </c>
      <c r="K38" s="60">
        <f t="shared" ref="K38:L38" si="1">IF(ISBLANK(K37)=TRUE,"",$G$16)</f>
        <v>105</v>
      </c>
      <c r="L38" s="60">
        <f t="shared" si="1"/>
        <v>105</v>
      </c>
    </row>
    <row r="39" spans="1:12" x14ac:dyDescent="0.2">
      <c r="E39" s="31"/>
      <c r="G39" s="5" t="s">
        <v>107</v>
      </c>
      <c r="H39" s="5" t="s">
        <v>108</v>
      </c>
      <c r="I39" s="5" t="s">
        <v>109</v>
      </c>
      <c r="J39" s="5" t="s">
        <v>110</v>
      </c>
      <c r="K39" s="5" t="s">
        <v>113</v>
      </c>
      <c r="L39" s="5" t="s">
        <v>114</v>
      </c>
    </row>
    <row r="40" spans="1:12" x14ac:dyDescent="0.2">
      <c r="A40" s="6" t="s">
        <v>52</v>
      </c>
      <c r="F40" s="1" t="s">
        <v>111</v>
      </c>
      <c r="G40" s="33">
        <f>'500 gal pump chamber'!G40</f>
        <v>0</v>
      </c>
      <c r="H40" s="33">
        <f>'500 gal pump chamber'!H40</f>
        <v>0</v>
      </c>
      <c r="I40" s="33"/>
      <c r="J40" s="33"/>
      <c r="K40" s="33"/>
      <c r="L40" s="33"/>
    </row>
    <row r="41" spans="1:12" x14ac:dyDescent="0.2">
      <c r="B41" s="1" t="s">
        <v>53</v>
      </c>
      <c r="F41" s="1" t="s">
        <v>112</v>
      </c>
      <c r="G41" s="60">
        <f t="shared" ref="G41:L41" si="2">IF(ISBLANK(G40)=TRUE,"",$G$16)</f>
        <v>105</v>
      </c>
      <c r="H41" s="60">
        <f>IF(ISBLANK(H40)=TRUE,"",$G$16)</f>
        <v>105</v>
      </c>
      <c r="I41" s="60" t="str">
        <f t="shared" si="2"/>
        <v/>
      </c>
      <c r="J41" s="60" t="str">
        <f t="shared" si="2"/>
        <v/>
      </c>
      <c r="K41" s="60" t="str">
        <f t="shared" si="2"/>
        <v/>
      </c>
      <c r="L41" s="60" t="str">
        <f t="shared" si="2"/>
        <v/>
      </c>
    </row>
    <row r="42" spans="1:12" x14ac:dyDescent="0.2">
      <c r="C42" s="1" t="s">
        <v>54</v>
      </c>
    </row>
    <row r="43" spans="1:12" x14ac:dyDescent="0.2">
      <c r="C43" s="1" t="s">
        <v>94</v>
      </c>
      <c r="D43" s="54" t="s">
        <v>118</v>
      </c>
      <c r="E43" s="1" t="s">
        <v>95</v>
      </c>
      <c r="F43" s="23">
        <v>1.61</v>
      </c>
      <c r="G43" s="1" t="s">
        <v>55</v>
      </c>
      <c r="H43" s="1" t="s">
        <v>89</v>
      </c>
      <c r="I43" s="53">
        <f>3.1416*F43*F43*0.004329*3</f>
        <v>0.10575757424232002</v>
      </c>
      <c r="J43" s="1" t="s">
        <v>56</v>
      </c>
    </row>
    <row r="44" spans="1:12" x14ac:dyDescent="0.2">
      <c r="C44" s="1" t="s">
        <v>57</v>
      </c>
      <c r="F44" s="45">
        <f>G37+H37+I37+J37+K37+L37+G40+H40+I40+J40+K40+L40</f>
        <v>285</v>
      </c>
      <c r="G44" s="1" t="s">
        <v>16</v>
      </c>
    </row>
    <row r="45" spans="1:12" x14ac:dyDescent="0.2">
      <c r="C45" s="1" t="s">
        <v>58</v>
      </c>
      <c r="D45" s="20"/>
      <c r="F45" s="19">
        <f>F44*I43</f>
        <v>30.140908659061203</v>
      </c>
    </row>
    <row r="47" spans="1:12" x14ac:dyDescent="0.2">
      <c r="A47" s="2"/>
      <c r="C47" s="1" t="s">
        <v>59</v>
      </c>
    </row>
    <row r="48" spans="1:12" x14ac:dyDescent="0.2">
      <c r="C48" s="1" t="s">
        <v>94</v>
      </c>
      <c r="D48" s="55" t="s">
        <v>118</v>
      </c>
      <c r="E48" s="1" t="s">
        <v>95</v>
      </c>
      <c r="F48" s="26">
        <v>2.0670000000000002</v>
      </c>
      <c r="G48" s="1" t="s">
        <v>55</v>
      </c>
      <c r="H48" s="1" t="s">
        <v>89</v>
      </c>
      <c r="I48" s="53">
        <f>3.1416*F48*F48*0.004329*3</f>
        <v>0.17431737688244883</v>
      </c>
      <c r="J48" s="1" t="s">
        <v>56</v>
      </c>
    </row>
    <row r="49" spans="1:15" x14ac:dyDescent="0.2">
      <c r="C49" s="1" t="s">
        <v>60</v>
      </c>
      <c r="F49" s="17">
        <f>G13</f>
        <v>30</v>
      </c>
      <c r="G49" s="1" t="s">
        <v>10</v>
      </c>
    </row>
    <row r="50" spans="1:15" x14ac:dyDescent="0.2">
      <c r="B50" s="1" t="s">
        <v>61</v>
      </c>
      <c r="F50" s="21">
        <f>F49*I48</f>
        <v>5.2295213064734654</v>
      </c>
      <c r="G50" s="1" t="s">
        <v>96</v>
      </c>
      <c r="K50" s="6"/>
    </row>
    <row r="52" spans="1:15" x14ac:dyDescent="0.2">
      <c r="A52" s="2"/>
      <c r="B52" s="1" t="s">
        <v>97</v>
      </c>
      <c r="D52" s="27">
        <f>5*F45</f>
        <v>150.70454329530602</v>
      </c>
      <c r="E52" s="5" t="s">
        <v>62</v>
      </c>
      <c r="F52" s="27">
        <f>F50</f>
        <v>5.2295213064734654</v>
      </c>
      <c r="G52" s="5" t="s">
        <v>30</v>
      </c>
      <c r="H52" s="27">
        <f>D52+F52</f>
        <v>155.93406460177948</v>
      </c>
      <c r="I52" s="1" t="s">
        <v>63</v>
      </c>
    </row>
    <row r="54" spans="1:15" x14ac:dyDescent="0.2">
      <c r="B54" s="1" t="s">
        <v>65</v>
      </c>
      <c r="E54" s="11">
        <v>220</v>
      </c>
      <c r="F54" s="1" t="s">
        <v>66</v>
      </c>
    </row>
    <row r="55" spans="1:15" x14ac:dyDescent="0.2">
      <c r="B55" s="1" t="s">
        <v>67</v>
      </c>
      <c r="E55" s="15">
        <f>H52</f>
        <v>155.93406460177948</v>
      </c>
      <c r="F55" s="1" t="s">
        <v>63</v>
      </c>
    </row>
    <row r="56" spans="1:15" x14ac:dyDescent="0.2">
      <c r="B56" s="1" t="s">
        <v>68</v>
      </c>
      <c r="E56" s="43">
        <f>E55/E54</f>
        <v>0.70879120273536134</v>
      </c>
      <c r="F56" s="1" t="s">
        <v>69</v>
      </c>
      <c r="G56" s="1" t="s">
        <v>76</v>
      </c>
      <c r="H56" s="44">
        <f>E56*12</f>
        <v>8.5054944328243351</v>
      </c>
      <c r="I56" s="1" t="s">
        <v>93</v>
      </c>
    </row>
    <row r="57" spans="1:15" x14ac:dyDescent="0.2">
      <c r="B57" s="1" t="s">
        <v>70</v>
      </c>
      <c r="E57" s="54" t="s">
        <v>120</v>
      </c>
    </row>
    <row r="58" spans="1:15" x14ac:dyDescent="0.2">
      <c r="I58" s="57"/>
    </row>
    <row r="59" spans="1:15" ht="15.75" x14ac:dyDescent="0.25">
      <c r="A59" s="34" t="s">
        <v>92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x14ac:dyDescent="0.2">
      <c r="D60" s="58" t="s">
        <v>123</v>
      </c>
      <c r="E60" s="1">
        <v>18.2</v>
      </c>
      <c r="H60" s="57">
        <f>E60+2.5+H56+G17*0.25/E54*12</f>
        <v>35.000948978278878</v>
      </c>
      <c r="I60" s="58" t="s">
        <v>122</v>
      </c>
    </row>
    <row r="61" spans="1:15" x14ac:dyDescent="0.2">
      <c r="B61" s="1" t="s">
        <v>115</v>
      </c>
      <c r="I61" s="1" t="str">
        <f>IF(H60&lt;46,"832 Gallon pump chamber OK", "The 832 gal pump chamber is INADEQUATE")</f>
        <v>832 Gallon pump chamber OK</v>
      </c>
    </row>
  </sheetData>
  <pageMargins left="0.3" right="0.25" top="0.25" bottom="0.25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view="pageBreakPreview" zoomScale="75" zoomScaleNormal="75" zoomScaleSheetLayoutView="75" workbookViewId="0">
      <selection activeCell="K53" sqref="K53"/>
    </sheetView>
  </sheetViews>
  <sheetFormatPr defaultColWidth="8" defaultRowHeight="12.75" x14ac:dyDescent="0.2"/>
  <cols>
    <col min="1" max="1" width="8.5703125" style="1" customWidth="1"/>
    <col min="2" max="2" width="9.140625" style="1" customWidth="1"/>
    <col min="3" max="3" width="27.28515625" style="1" customWidth="1"/>
    <col min="4" max="4" width="8.5703125" style="1" customWidth="1"/>
    <col min="5" max="5" width="7.42578125" style="1" customWidth="1"/>
    <col min="6" max="6" width="9.7109375" style="1" customWidth="1"/>
    <col min="7" max="7" width="8.5703125" style="1" customWidth="1"/>
    <col min="8" max="10" width="8.28515625" style="1" customWidth="1"/>
    <col min="11" max="11" width="7.5703125" style="1" customWidth="1"/>
    <col min="12" max="12" width="10.7109375" style="1" customWidth="1"/>
    <col min="13" max="16384" width="8" style="1"/>
  </cols>
  <sheetData>
    <row r="1" spans="1:9" s="5" customFormat="1" ht="15.75" x14ac:dyDescent="0.25">
      <c r="A1" s="30" t="s">
        <v>124</v>
      </c>
    </row>
    <row r="3" spans="1:9" x14ac:dyDescent="0.2">
      <c r="I3" s="1" t="s">
        <v>91</v>
      </c>
    </row>
    <row r="4" spans="1:9" x14ac:dyDescent="0.2">
      <c r="A4" s="1" t="s">
        <v>64</v>
      </c>
      <c r="B4" s="54"/>
      <c r="C4" s="26"/>
      <c r="E4" s="1" t="s">
        <v>0</v>
      </c>
      <c r="F4" s="54"/>
      <c r="G4" s="11"/>
    </row>
    <row r="5" spans="1:9" x14ac:dyDescent="0.2">
      <c r="A5" s="1" t="s">
        <v>72</v>
      </c>
      <c r="B5" s="54"/>
      <c r="C5" s="24"/>
      <c r="E5" s="1" t="s">
        <v>1</v>
      </c>
      <c r="F5" s="54"/>
      <c r="G5" s="11"/>
    </row>
    <row r="6" spans="1:9" x14ac:dyDescent="0.2">
      <c r="A6" s="1" t="s">
        <v>71</v>
      </c>
      <c r="B6" s="54"/>
      <c r="C6" s="24"/>
      <c r="E6" s="1" t="s">
        <v>78</v>
      </c>
      <c r="F6" s="54"/>
      <c r="G6" s="24"/>
    </row>
    <row r="7" spans="1:9" x14ac:dyDescent="0.2">
      <c r="E7" s="1" t="s">
        <v>1</v>
      </c>
      <c r="F7" s="59"/>
      <c r="G7" s="11"/>
    </row>
    <row r="8" spans="1:9" x14ac:dyDescent="0.2">
      <c r="A8" s="6" t="s">
        <v>2</v>
      </c>
    </row>
    <row r="9" spans="1:9" x14ac:dyDescent="0.2">
      <c r="A9" s="1" t="s">
        <v>3</v>
      </c>
      <c r="D9" s="13">
        <v>0.1875</v>
      </c>
      <c r="E9" s="1" t="s">
        <v>4</v>
      </c>
      <c r="F9" s="1" t="s">
        <v>5</v>
      </c>
    </row>
    <row r="10" spans="1:9" x14ac:dyDescent="0.2">
      <c r="A10" s="1" t="s">
        <v>6</v>
      </c>
      <c r="D10" s="11">
        <v>5</v>
      </c>
      <c r="E10" s="1" t="s">
        <v>7</v>
      </c>
      <c r="F10" s="1" t="s">
        <v>8</v>
      </c>
    </row>
    <row r="11" spans="1:9" x14ac:dyDescent="0.2">
      <c r="A11" s="1" t="s">
        <v>9</v>
      </c>
      <c r="D11" s="11">
        <v>5</v>
      </c>
      <c r="E11" s="1" t="s">
        <v>10</v>
      </c>
      <c r="F11" s="1" t="s">
        <v>77</v>
      </c>
    </row>
    <row r="12" spans="1:9" x14ac:dyDescent="0.2">
      <c r="A12" s="1" t="s">
        <v>11</v>
      </c>
      <c r="D12" s="25">
        <f>19.6432*0.62*D9*D9*SQRT(D11)</f>
        <v>0.95739570377180161</v>
      </c>
      <c r="E12" s="1" t="s">
        <v>12</v>
      </c>
      <c r="F12" s="1" t="s">
        <v>13</v>
      </c>
    </row>
    <row r="13" spans="1:9" x14ac:dyDescent="0.2">
      <c r="A13" s="1" t="s">
        <v>14</v>
      </c>
      <c r="F13" s="8" t="s">
        <v>15</v>
      </c>
      <c r="G13" s="49">
        <v>30</v>
      </c>
      <c r="H13" s="1" t="s">
        <v>16</v>
      </c>
    </row>
    <row r="14" spans="1:9" x14ac:dyDescent="0.2">
      <c r="A14" s="1" t="s">
        <v>17</v>
      </c>
      <c r="F14" s="8" t="s">
        <v>18</v>
      </c>
      <c r="G14" s="50">
        <v>2</v>
      </c>
      <c r="H14" s="1" t="s">
        <v>19</v>
      </c>
    </row>
    <row r="15" spans="1:9" x14ac:dyDescent="0.2">
      <c r="A15" s="1" t="s">
        <v>20</v>
      </c>
      <c r="F15" s="8" t="s">
        <v>21</v>
      </c>
      <c r="G15" s="50">
        <v>100</v>
      </c>
      <c r="H15" s="1" t="s">
        <v>16</v>
      </c>
    </row>
    <row r="16" spans="1:9" x14ac:dyDescent="0.2">
      <c r="A16" s="1" t="s">
        <v>22</v>
      </c>
      <c r="F16" s="8" t="s">
        <v>23</v>
      </c>
      <c r="G16" s="50">
        <v>105</v>
      </c>
      <c r="H16" s="1" t="s">
        <v>16</v>
      </c>
    </row>
    <row r="17" spans="1:11" x14ac:dyDescent="0.2">
      <c r="A17" s="1" t="s">
        <v>24</v>
      </c>
      <c r="F17" s="8" t="s">
        <v>25</v>
      </c>
      <c r="G17" s="50">
        <v>425</v>
      </c>
      <c r="H17" s="1" t="s">
        <v>26</v>
      </c>
      <c r="I17" s="1" t="s">
        <v>117</v>
      </c>
      <c r="K17" s="5"/>
    </row>
    <row r="18" spans="1:11" x14ac:dyDescent="0.2">
      <c r="A18" s="1" t="s">
        <v>27</v>
      </c>
      <c r="F18" s="8" t="s">
        <v>28</v>
      </c>
      <c r="G18" s="50">
        <v>0.5</v>
      </c>
      <c r="H18" s="1" t="s">
        <v>29</v>
      </c>
      <c r="I18" s="1" t="s">
        <v>116</v>
      </c>
      <c r="J18" s="33"/>
      <c r="K18" s="48">
        <f>IF(J18="x",G18/0.5,G18)</f>
        <v>0.5</v>
      </c>
    </row>
    <row r="19" spans="1:11" x14ac:dyDescent="0.2">
      <c r="B19" s="1" t="s">
        <v>74</v>
      </c>
      <c r="D19" s="10" t="s">
        <v>90</v>
      </c>
      <c r="E19" s="5"/>
      <c r="F19" s="56" t="s">
        <v>119</v>
      </c>
      <c r="G19" s="10" t="s">
        <v>88</v>
      </c>
      <c r="I19" s="52"/>
    </row>
    <row r="20" spans="1:11" x14ac:dyDescent="0.2">
      <c r="B20" s="1" t="s">
        <v>103</v>
      </c>
      <c r="D20" s="1" t="s">
        <v>104</v>
      </c>
      <c r="F20" s="51">
        <v>3</v>
      </c>
      <c r="G20" s="1" t="s">
        <v>105</v>
      </c>
      <c r="I20" s="51">
        <f>F20</f>
        <v>3</v>
      </c>
    </row>
    <row r="21" spans="1:11" x14ac:dyDescent="0.2">
      <c r="A21" s="4" t="s">
        <v>75</v>
      </c>
      <c r="F21" s="38"/>
    </row>
    <row r="22" spans="1:11" x14ac:dyDescent="0.2">
      <c r="B22" s="1" t="s">
        <v>99</v>
      </c>
      <c r="D22" s="1" t="s">
        <v>102</v>
      </c>
      <c r="E22" s="1" t="s">
        <v>100</v>
      </c>
      <c r="F22" s="40">
        <f>G17/K18</f>
        <v>850</v>
      </c>
      <c r="H22" s="1" t="s">
        <v>101</v>
      </c>
      <c r="I22" s="40">
        <f>F22*0.75</f>
        <v>637.5</v>
      </c>
    </row>
    <row r="23" spans="1:11" x14ac:dyDescent="0.2">
      <c r="B23" s="1" t="s">
        <v>31</v>
      </c>
      <c r="F23" s="40">
        <f>F22/F20</f>
        <v>283.33333333333331</v>
      </c>
      <c r="I23" s="40">
        <f>I22/I20</f>
        <v>212.5</v>
      </c>
    </row>
    <row r="24" spans="1:11" x14ac:dyDescent="0.2">
      <c r="D24" s="8"/>
      <c r="E24" s="5" t="s">
        <v>30</v>
      </c>
      <c r="F24" s="3"/>
      <c r="G24" s="39"/>
    </row>
    <row r="25" spans="1:11" x14ac:dyDescent="0.2">
      <c r="A25" s="1" t="s">
        <v>32</v>
      </c>
      <c r="D25" s="8" t="s">
        <v>33</v>
      </c>
      <c r="E25" s="5" t="s">
        <v>30</v>
      </c>
      <c r="F25" s="3" t="s">
        <v>34</v>
      </c>
      <c r="G25" s="18">
        <f>IF(F19="x",F23/D10,I23/D10)</f>
        <v>56.666666666666664</v>
      </c>
    </row>
    <row r="26" spans="1:11" x14ac:dyDescent="0.2">
      <c r="A26" s="1" t="s">
        <v>35</v>
      </c>
      <c r="D26" s="8" t="s">
        <v>36</v>
      </c>
      <c r="E26" s="5" t="s">
        <v>30</v>
      </c>
      <c r="F26" s="3" t="s">
        <v>37</v>
      </c>
      <c r="G26" s="18">
        <f>G25*D12</f>
        <v>54.252423213735419</v>
      </c>
      <c r="H26" s="1" t="s">
        <v>12</v>
      </c>
    </row>
    <row r="27" spans="1:11" x14ac:dyDescent="0.2">
      <c r="A27" s="1" t="s">
        <v>38</v>
      </c>
      <c r="C27" s="10"/>
      <c r="D27" s="8"/>
      <c r="F27" s="5" t="s">
        <v>39</v>
      </c>
      <c r="G27" s="25">
        <f>4.727*100*EXP(1.85*LN(0.002228*G26/140))/(EXP(4.87*LN(G14/12)))</f>
        <v>6.2540857482520069</v>
      </c>
      <c r="H27" s="1" t="s">
        <v>40</v>
      </c>
      <c r="K27" s="58"/>
    </row>
    <row r="28" spans="1:11" x14ac:dyDescent="0.2">
      <c r="A28" s="1" t="s">
        <v>41</v>
      </c>
      <c r="D28" s="16" t="s">
        <v>42</v>
      </c>
      <c r="G28" s="37">
        <f>G13*G27/100</f>
        <v>1.876225724475602</v>
      </c>
      <c r="H28" s="1" t="s">
        <v>16</v>
      </c>
    </row>
    <row r="29" spans="1:11" x14ac:dyDescent="0.2">
      <c r="A29" s="1" t="s">
        <v>43</v>
      </c>
      <c r="D29" s="9" t="s">
        <v>44</v>
      </c>
      <c r="E29" s="10" t="s">
        <v>73</v>
      </c>
      <c r="F29" s="1" t="s">
        <v>45</v>
      </c>
      <c r="G29" s="36">
        <f>G16-G15</f>
        <v>5</v>
      </c>
      <c r="H29" s="10" t="s">
        <v>16</v>
      </c>
    </row>
    <row r="30" spans="1:11" x14ac:dyDescent="0.2">
      <c r="A30" s="1" t="s">
        <v>98</v>
      </c>
      <c r="G30" s="21">
        <f>D11+G28+G29</f>
        <v>11.876225724475603</v>
      </c>
      <c r="H30" s="12"/>
      <c r="K30" s="14"/>
    </row>
    <row r="31" spans="1:11" x14ac:dyDescent="0.2">
      <c r="G31" s="22"/>
      <c r="H31" s="12"/>
      <c r="K31" s="14"/>
    </row>
    <row r="32" spans="1:11" ht="14.25" customHeight="1" x14ac:dyDescent="0.2">
      <c r="A32" s="6" t="s">
        <v>46</v>
      </c>
      <c r="F32" s="3"/>
      <c r="G32" s="8"/>
      <c r="J32" s="8"/>
    </row>
    <row r="33" spans="1:12" ht="14.45" customHeight="1" x14ac:dyDescent="0.2">
      <c r="A33" s="7" t="s">
        <v>47</v>
      </c>
      <c r="D33" s="41">
        <f>G26</f>
        <v>54.252423213735419</v>
      </c>
      <c r="E33" s="1" t="s">
        <v>12</v>
      </c>
      <c r="F33" s="10" t="s">
        <v>48</v>
      </c>
      <c r="H33" s="42">
        <f>G30</f>
        <v>11.876225724475603</v>
      </c>
      <c r="I33" s="1" t="s">
        <v>49</v>
      </c>
      <c r="J33" s="8"/>
    </row>
    <row r="34" spans="1:12" x14ac:dyDescent="0.2">
      <c r="D34" s="1" t="s">
        <v>50</v>
      </c>
      <c r="F34" s="54" t="s">
        <v>121</v>
      </c>
      <c r="G34" s="1" t="s">
        <v>51</v>
      </c>
      <c r="H34" s="54" t="s">
        <v>127</v>
      </c>
      <c r="J34" s="8"/>
    </row>
    <row r="35" spans="1:12" x14ac:dyDescent="0.2">
      <c r="J35" s="8"/>
    </row>
    <row r="36" spans="1:12" x14ac:dyDescent="0.2">
      <c r="A36" s="28" t="s">
        <v>79</v>
      </c>
      <c r="F36" s="3"/>
      <c r="G36" s="5" t="s">
        <v>82</v>
      </c>
      <c r="H36" s="5" t="s">
        <v>83</v>
      </c>
      <c r="I36" s="5" t="s">
        <v>84</v>
      </c>
      <c r="J36" s="29" t="s">
        <v>85</v>
      </c>
      <c r="K36" s="5" t="s">
        <v>86</v>
      </c>
      <c r="L36" s="5" t="s">
        <v>106</v>
      </c>
    </row>
    <row r="37" spans="1:12" x14ac:dyDescent="0.2">
      <c r="B37" s="1" t="s">
        <v>80</v>
      </c>
      <c r="D37" s="32">
        <v>3</v>
      </c>
      <c r="E37" s="1" t="s">
        <v>81</v>
      </c>
      <c r="G37" s="33">
        <v>95</v>
      </c>
      <c r="H37" s="33">
        <v>95</v>
      </c>
      <c r="I37" s="33">
        <v>95</v>
      </c>
      <c r="J37" s="33">
        <v>0</v>
      </c>
      <c r="K37" s="33"/>
      <c r="L37" s="33"/>
    </row>
    <row r="38" spans="1:12" x14ac:dyDescent="0.2">
      <c r="E38" s="31" t="s">
        <v>87</v>
      </c>
      <c r="G38" s="60">
        <f t="shared" ref="G38:L38" si="0">IF(ISBLANK(G37)=TRUE,"",$G$16)</f>
        <v>105</v>
      </c>
      <c r="H38" s="60">
        <f t="shared" si="0"/>
        <v>105</v>
      </c>
      <c r="I38" s="60">
        <f t="shared" si="0"/>
        <v>105</v>
      </c>
      <c r="J38" s="60">
        <f t="shared" si="0"/>
        <v>105</v>
      </c>
      <c r="K38" s="60" t="str">
        <f t="shared" si="0"/>
        <v/>
      </c>
      <c r="L38" s="60" t="str">
        <f t="shared" si="0"/>
        <v/>
      </c>
    </row>
    <row r="39" spans="1:12" x14ac:dyDescent="0.2">
      <c r="E39" s="31"/>
      <c r="G39" s="5" t="s">
        <v>107</v>
      </c>
      <c r="H39" s="5" t="s">
        <v>108</v>
      </c>
      <c r="I39" s="5" t="s">
        <v>109</v>
      </c>
      <c r="J39" s="5" t="s">
        <v>110</v>
      </c>
      <c r="K39" s="5" t="s">
        <v>113</v>
      </c>
      <c r="L39" s="5" t="s">
        <v>114</v>
      </c>
    </row>
    <row r="40" spans="1:12" x14ac:dyDescent="0.2">
      <c r="A40" s="6" t="s">
        <v>52</v>
      </c>
      <c r="F40" s="1" t="s">
        <v>111</v>
      </c>
      <c r="G40" s="33"/>
      <c r="H40" s="33"/>
      <c r="I40" s="33"/>
      <c r="J40" s="33"/>
      <c r="K40" s="47"/>
      <c r="L40" s="33"/>
    </row>
    <row r="41" spans="1:12" x14ac:dyDescent="0.2">
      <c r="B41" s="1" t="s">
        <v>53</v>
      </c>
      <c r="F41" s="1" t="s">
        <v>112</v>
      </c>
      <c r="G41" s="60" t="str">
        <f t="shared" ref="G41:L41" si="1">IF(ISBLANK(G40)=TRUE,"",$G$16)</f>
        <v/>
      </c>
      <c r="H41" s="60" t="str">
        <f t="shared" si="1"/>
        <v/>
      </c>
      <c r="I41" s="60" t="str">
        <f t="shared" si="1"/>
        <v/>
      </c>
      <c r="J41" s="60" t="str">
        <f t="shared" si="1"/>
        <v/>
      </c>
      <c r="K41" s="60" t="str">
        <f t="shared" si="1"/>
        <v/>
      </c>
      <c r="L41" s="60" t="str">
        <f t="shared" si="1"/>
        <v/>
      </c>
    </row>
    <row r="42" spans="1:12" x14ac:dyDescent="0.2">
      <c r="C42" s="1" t="s">
        <v>54</v>
      </c>
    </row>
    <row r="43" spans="1:12" x14ac:dyDescent="0.2">
      <c r="C43" s="1" t="s">
        <v>94</v>
      </c>
      <c r="D43" s="54" t="s">
        <v>118</v>
      </c>
      <c r="E43" s="1" t="s">
        <v>95</v>
      </c>
      <c r="F43" s="23">
        <v>1.61</v>
      </c>
      <c r="G43" s="1" t="s">
        <v>55</v>
      </c>
      <c r="H43" s="1" t="s">
        <v>89</v>
      </c>
      <c r="I43" s="53">
        <f>3.1416*F43*F43*0.004329*3</f>
        <v>0.10575757424232002</v>
      </c>
      <c r="J43" s="1" t="s">
        <v>56</v>
      </c>
    </row>
    <row r="44" spans="1:12" x14ac:dyDescent="0.2">
      <c r="C44" s="1" t="s">
        <v>57</v>
      </c>
      <c r="F44" s="45">
        <f>G37+H37+I37+J37+K37+L37+G40+H40+I40+J40+K40+L40</f>
        <v>285</v>
      </c>
      <c r="G44" s="1" t="s">
        <v>16</v>
      </c>
    </row>
    <row r="45" spans="1:12" x14ac:dyDescent="0.2">
      <c r="C45" s="1" t="s">
        <v>58</v>
      </c>
      <c r="D45" s="20"/>
      <c r="F45" s="19">
        <f>F44*I43</f>
        <v>30.140908659061203</v>
      </c>
    </row>
    <row r="47" spans="1:12" x14ac:dyDescent="0.2">
      <c r="A47" s="2"/>
      <c r="C47" s="1" t="s">
        <v>59</v>
      </c>
    </row>
    <row r="48" spans="1:12" x14ac:dyDescent="0.2">
      <c r="C48" s="1" t="s">
        <v>94</v>
      </c>
      <c r="D48" s="55" t="s">
        <v>118</v>
      </c>
      <c r="E48" s="1" t="s">
        <v>95</v>
      </c>
      <c r="F48" s="26">
        <v>2.0670000000000002</v>
      </c>
      <c r="G48" s="1" t="s">
        <v>55</v>
      </c>
      <c r="H48" s="1" t="s">
        <v>89</v>
      </c>
      <c r="I48" s="53">
        <f>3.1416*F48*F48*0.004329*3</f>
        <v>0.17431737688244883</v>
      </c>
      <c r="J48" s="1" t="s">
        <v>56</v>
      </c>
    </row>
    <row r="49" spans="1:15" x14ac:dyDescent="0.2">
      <c r="C49" s="1" t="s">
        <v>60</v>
      </c>
      <c r="F49" s="17">
        <f>G13</f>
        <v>30</v>
      </c>
      <c r="G49" s="1" t="s">
        <v>10</v>
      </c>
    </row>
    <row r="50" spans="1:15" x14ac:dyDescent="0.2">
      <c r="B50" s="1" t="s">
        <v>61</v>
      </c>
      <c r="F50" s="21">
        <f>F49*I48</f>
        <v>5.2295213064734654</v>
      </c>
      <c r="G50" s="1" t="s">
        <v>96</v>
      </c>
      <c r="K50" s="6"/>
    </row>
    <row r="52" spans="1:15" x14ac:dyDescent="0.2">
      <c r="A52" s="2"/>
      <c r="B52" s="1" t="s">
        <v>97</v>
      </c>
      <c r="D52" s="27">
        <f>5*F45</f>
        <v>150.70454329530602</v>
      </c>
      <c r="E52" s="5" t="s">
        <v>62</v>
      </c>
      <c r="F52" s="27">
        <f>F50</f>
        <v>5.2295213064734654</v>
      </c>
      <c r="G52" s="5" t="s">
        <v>30</v>
      </c>
      <c r="H52" s="27">
        <f>D52+F52</f>
        <v>155.93406460177948</v>
      </c>
      <c r="I52" s="1" t="s">
        <v>63</v>
      </c>
    </row>
    <row r="54" spans="1:15" x14ac:dyDescent="0.2">
      <c r="B54" s="1" t="s">
        <v>65</v>
      </c>
      <c r="E54" s="11">
        <v>126</v>
      </c>
      <c r="F54" s="1" t="s">
        <v>66</v>
      </c>
    </row>
    <row r="55" spans="1:15" x14ac:dyDescent="0.2">
      <c r="B55" s="1" t="s">
        <v>67</v>
      </c>
      <c r="E55" s="15">
        <f>H52</f>
        <v>155.93406460177948</v>
      </c>
      <c r="F55" s="1" t="s">
        <v>63</v>
      </c>
    </row>
    <row r="56" spans="1:15" x14ac:dyDescent="0.2">
      <c r="B56" s="1" t="s">
        <v>68</v>
      </c>
      <c r="E56" s="43">
        <f>E55/E54</f>
        <v>1.2375719412839641</v>
      </c>
      <c r="F56" s="1" t="s">
        <v>69</v>
      </c>
      <c r="G56" s="1" t="s">
        <v>76</v>
      </c>
      <c r="H56" s="44">
        <f>E56*12</f>
        <v>14.850863295407569</v>
      </c>
      <c r="I56" s="1" t="s">
        <v>93</v>
      </c>
    </row>
    <row r="57" spans="1:15" x14ac:dyDescent="0.2">
      <c r="B57" s="1" t="s">
        <v>70</v>
      </c>
      <c r="E57" s="54" t="s">
        <v>120</v>
      </c>
    </row>
    <row r="58" spans="1:15" x14ac:dyDescent="0.2">
      <c r="I58" s="57"/>
    </row>
    <row r="59" spans="1:15" ht="15.75" x14ac:dyDescent="0.25">
      <c r="A59" s="34" t="s">
        <v>92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x14ac:dyDescent="0.2">
      <c r="D60" s="62" t="s">
        <v>123</v>
      </c>
      <c r="E60" s="61">
        <v>13.7</v>
      </c>
      <c r="H60" s="57">
        <f>E60+2.5+H56+G17*0.25/E54*12</f>
        <v>41.169910914455187</v>
      </c>
      <c r="I60" s="58" t="s">
        <v>122</v>
      </c>
    </row>
    <row r="61" spans="1:15" x14ac:dyDescent="0.2">
      <c r="B61" s="1" t="s">
        <v>115</v>
      </c>
      <c r="I61" s="1" t="str">
        <f>IF(H60&lt;46,"500 Gallon pump chamber OK", "The 500 gal pump chamber is INADEQUATE")</f>
        <v>500 Gallon pump chamber OK</v>
      </c>
    </row>
  </sheetData>
  <phoneticPr fontId="0" type="noConversion"/>
  <pageMargins left="0.3" right="0.25" top="0.25" bottom="0.25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1000 gal pump chamber</vt:lpstr>
      <vt:lpstr>832 gal pump chamber</vt:lpstr>
      <vt:lpstr>500 gal pump chamber</vt:lpstr>
      <vt:lpstr>'500 gal pump chamber'!Print_Area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Cassidy</dc:creator>
  <cp:lastModifiedBy>Kate Cassidy</cp:lastModifiedBy>
  <cp:lastPrinted>2021-03-19T21:07:03Z</cp:lastPrinted>
  <dcterms:created xsi:type="dcterms:W3CDTF">2005-10-14T21:13:49Z</dcterms:created>
  <dcterms:modified xsi:type="dcterms:W3CDTF">2022-01-07T18:15:29Z</dcterms:modified>
</cp:coreProperties>
</file>