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udget\FY25 Budget Files\Mill Levy\"/>
    </mc:Choice>
  </mc:AlternateContent>
  <xr:revisionPtr revIDLastSave="0" documentId="13_ncr:1_{F7C015D1-BF39-4579-95D9-E96FF4C2D820}" xr6:coauthVersionLast="47" xr6:coauthVersionMax="47" xr10:uidLastSave="{00000000-0000-0000-0000-000000000000}"/>
  <bookViews>
    <workbookView xWindow="0" yWindow="0" windowWidth="25800" windowHeight="21000" tabRatio="601" firstSheet="1" activeTab="1" xr2:uid="{00000000-000D-0000-FFFF-FFFF00000000}"/>
  </bookViews>
  <sheets>
    <sheet name="WHERE IS THE GROWTH" sheetId="9" state="hidden" r:id="rId1"/>
    <sheet name="FY2025 Resources Available" sheetId="13" r:id="rId2"/>
    <sheet name="Non-levied Funds FY25" sheetId="7" r:id="rId3"/>
    <sheet name="How to" sheetId="14" state="hidden" r:id="rId4"/>
  </sheets>
  <definedNames>
    <definedName name="_xlnm.Print_Area" localSheetId="1">'FY2025 Resources Available'!$B$2:$R$55</definedName>
    <definedName name="_xlnm.Print_Area" localSheetId="2">'Non-levied Funds FY25'!$A$1:$Q$200</definedName>
    <definedName name="_xlnm.Print_Titles" localSheetId="1">'FY2025 Resources Available'!$1:$3</definedName>
    <definedName name="_xlnm.Print_Titles" localSheetId="2">'Non-levied Funds FY25'!$2:$3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6" i="13" l="1"/>
  <c r="R37" i="13" l="1"/>
  <c r="R4" i="13"/>
  <c r="O4" i="13"/>
  <c r="AA57" i="13"/>
  <c r="O20" i="13"/>
  <c r="O8" i="13"/>
  <c r="O12" i="13"/>
  <c r="AF16" i="13" l="1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H60" i="7"/>
  <c r="T4" i="7"/>
  <c r="K5" i="7"/>
  <c r="L5" i="7"/>
  <c r="M5" i="7" s="1"/>
  <c r="N5" i="7" s="1"/>
  <c r="K6" i="7"/>
  <c r="M6" i="7" s="1"/>
  <c r="N6" i="7" s="1"/>
  <c r="L6" i="7"/>
  <c r="K7" i="7"/>
  <c r="L7" i="7"/>
  <c r="M7" i="7" s="1"/>
  <c r="N7" i="7" s="1"/>
  <c r="K8" i="7"/>
  <c r="M8" i="7" s="1"/>
  <c r="N8" i="7" s="1"/>
  <c r="L8" i="7"/>
  <c r="K9" i="7"/>
  <c r="L9" i="7"/>
  <c r="M9" i="7" s="1"/>
  <c r="N9" i="7" s="1"/>
  <c r="K10" i="7"/>
  <c r="M10" i="7" s="1"/>
  <c r="L10" i="7"/>
  <c r="N10" i="7"/>
  <c r="K11" i="7"/>
  <c r="L11" i="7"/>
  <c r="M11" i="7"/>
  <c r="N11" i="7" s="1"/>
  <c r="K12" i="7"/>
  <c r="M12" i="7" s="1"/>
  <c r="N12" i="7" s="1"/>
  <c r="L12" i="7"/>
  <c r="K13" i="7"/>
  <c r="L13" i="7"/>
  <c r="M13" i="7"/>
  <c r="N13" i="7" s="1"/>
  <c r="K14" i="7"/>
  <c r="M14" i="7" s="1"/>
  <c r="L14" i="7"/>
  <c r="N14" i="7"/>
  <c r="K15" i="7"/>
  <c r="L15" i="7"/>
  <c r="M15" i="7"/>
  <c r="N15" i="7" s="1"/>
  <c r="K16" i="7"/>
  <c r="M16" i="7" s="1"/>
  <c r="L16" i="7"/>
  <c r="N16" i="7"/>
  <c r="K17" i="7"/>
  <c r="L17" i="7"/>
  <c r="M17" i="7"/>
  <c r="N17" i="7" s="1"/>
  <c r="K18" i="7"/>
  <c r="M18" i="7" s="1"/>
  <c r="L18" i="7"/>
  <c r="N18" i="7"/>
  <c r="K19" i="7"/>
  <c r="L19" i="7"/>
  <c r="M19" i="7"/>
  <c r="N19" i="7" s="1"/>
  <c r="K20" i="7"/>
  <c r="M20" i="7" s="1"/>
  <c r="N20" i="7" s="1"/>
  <c r="L20" i="7"/>
  <c r="K21" i="7"/>
  <c r="L21" i="7"/>
  <c r="M21" i="7"/>
  <c r="N21" i="7" s="1"/>
  <c r="K22" i="7"/>
  <c r="M22" i="7" s="1"/>
  <c r="L22" i="7"/>
  <c r="N22" i="7"/>
  <c r="K23" i="7"/>
  <c r="L23" i="7"/>
  <c r="M23" i="7"/>
  <c r="N23" i="7" s="1"/>
  <c r="K24" i="7"/>
  <c r="M24" i="7" s="1"/>
  <c r="L24" i="7"/>
  <c r="N24" i="7"/>
  <c r="K25" i="7"/>
  <c r="L25" i="7"/>
  <c r="M25" i="7"/>
  <c r="N25" i="7" s="1"/>
  <c r="K26" i="7"/>
  <c r="M26" i="7" s="1"/>
  <c r="L26" i="7"/>
  <c r="N26" i="7"/>
  <c r="K27" i="7"/>
  <c r="L27" i="7"/>
  <c r="M27" i="7"/>
  <c r="N27" i="7" s="1"/>
  <c r="K28" i="7"/>
  <c r="M28" i="7" s="1"/>
  <c r="N28" i="7" s="1"/>
  <c r="L28" i="7"/>
  <c r="K29" i="7"/>
  <c r="L29" i="7"/>
  <c r="M29" i="7"/>
  <c r="N29" i="7" s="1"/>
  <c r="K30" i="7"/>
  <c r="M30" i="7" s="1"/>
  <c r="L30" i="7"/>
  <c r="N30" i="7"/>
  <c r="K31" i="7"/>
  <c r="L31" i="7"/>
  <c r="M31" i="7"/>
  <c r="N31" i="7" s="1"/>
  <c r="K32" i="7"/>
  <c r="M32" i="7" s="1"/>
  <c r="L32" i="7"/>
  <c r="N32" i="7"/>
  <c r="K33" i="7"/>
  <c r="L33" i="7"/>
  <c r="M33" i="7"/>
  <c r="N33" i="7" s="1"/>
  <c r="K34" i="7"/>
  <c r="M34" i="7" s="1"/>
  <c r="L34" i="7"/>
  <c r="N34" i="7"/>
  <c r="K35" i="7"/>
  <c r="L35" i="7"/>
  <c r="M35" i="7"/>
  <c r="N35" i="7" s="1"/>
  <c r="K36" i="7"/>
  <c r="M36" i="7" s="1"/>
  <c r="N36" i="7" s="1"/>
  <c r="L36" i="7"/>
  <c r="K37" i="7"/>
  <c r="L37" i="7"/>
  <c r="M37" i="7"/>
  <c r="N37" i="7" s="1"/>
  <c r="K38" i="7"/>
  <c r="M38" i="7" s="1"/>
  <c r="L38" i="7"/>
  <c r="N38" i="7"/>
  <c r="K39" i="7"/>
  <c r="L39" i="7"/>
  <c r="M39" i="7"/>
  <c r="N39" i="7" s="1"/>
  <c r="K40" i="7"/>
  <c r="M40" i="7" s="1"/>
  <c r="L40" i="7"/>
  <c r="N40" i="7"/>
  <c r="K41" i="7"/>
  <c r="L41" i="7"/>
  <c r="M41" i="7"/>
  <c r="N41" i="7" s="1"/>
  <c r="K42" i="7"/>
  <c r="M42" i="7" s="1"/>
  <c r="L42" i="7"/>
  <c r="N42" i="7"/>
  <c r="K43" i="7"/>
  <c r="L43" i="7"/>
  <c r="M43" i="7"/>
  <c r="N43" i="7" s="1"/>
  <c r="K44" i="7"/>
  <c r="M44" i="7" s="1"/>
  <c r="N44" i="7" s="1"/>
  <c r="L44" i="7"/>
  <c r="K45" i="7"/>
  <c r="L45" i="7"/>
  <c r="M45" i="7"/>
  <c r="N45" i="7" s="1"/>
  <c r="K46" i="7"/>
  <c r="M46" i="7" s="1"/>
  <c r="L46" i="7"/>
  <c r="N46" i="7"/>
  <c r="K47" i="7"/>
  <c r="L47" i="7"/>
  <c r="M47" i="7"/>
  <c r="N47" i="7" s="1"/>
  <c r="K48" i="7"/>
  <c r="M48" i="7" s="1"/>
  <c r="L48" i="7"/>
  <c r="N48" i="7"/>
  <c r="K49" i="7"/>
  <c r="L49" i="7"/>
  <c r="M49" i="7"/>
  <c r="N49" i="7" s="1"/>
  <c r="K50" i="7"/>
  <c r="M50" i="7" s="1"/>
  <c r="L50" i="7"/>
  <c r="N50" i="7"/>
  <c r="K51" i="7"/>
  <c r="L51" i="7"/>
  <c r="M51" i="7"/>
  <c r="N51" i="7" s="1"/>
  <c r="K52" i="7"/>
  <c r="M52" i="7" s="1"/>
  <c r="N52" i="7" s="1"/>
  <c r="L52" i="7"/>
  <c r="K53" i="7"/>
  <c r="L53" i="7"/>
  <c r="M53" i="7"/>
  <c r="N53" i="7" s="1"/>
  <c r="K54" i="7"/>
  <c r="M54" i="7" s="1"/>
  <c r="L54" i="7"/>
  <c r="N54" i="7"/>
  <c r="K55" i="7"/>
  <c r="L55" i="7"/>
  <c r="M55" i="7"/>
  <c r="N55" i="7" s="1"/>
  <c r="K56" i="7"/>
  <c r="M56" i="7" s="1"/>
  <c r="L56" i="7"/>
  <c r="N56" i="7"/>
  <c r="K57" i="7"/>
  <c r="L57" i="7"/>
  <c r="M57" i="7"/>
  <c r="N57" i="7" s="1"/>
  <c r="K58" i="7"/>
  <c r="M58" i="7" s="1"/>
  <c r="L58" i="7"/>
  <c r="N58" i="7"/>
  <c r="K59" i="7"/>
  <c r="L59" i="7"/>
  <c r="M59" i="7"/>
  <c r="N59" i="7" s="1"/>
  <c r="K60" i="7"/>
  <c r="M60" i="7" s="1"/>
  <c r="N60" i="7" s="1"/>
  <c r="L60" i="7"/>
  <c r="K61" i="7"/>
  <c r="L61" i="7"/>
  <c r="M61" i="7"/>
  <c r="N61" i="7" s="1"/>
  <c r="K62" i="7"/>
  <c r="M62" i="7" s="1"/>
  <c r="L62" i="7"/>
  <c r="N62" i="7"/>
  <c r="K63" i="7"/>
  <c r="L63" i="7"/>
  <c r="M63" i="7"/>
  <c r="N63" i="7" s="1"/>
  <c r="K64" i="7"/>
  <c r="M64" i="7" s="1"/>
  <c r="L64" i="7"/>
  <c r="N64" i="7"/>
  <c r="K65" i="7"/>
  <c r="L65" i="7"/>
  <c r="M65" i="7"/>
  <c r="N65" i="7" s="1"/>
  <c r="K66" i="7"/>
  <c r="M66" i="7" s="1"/>
  <c r="L66" i="7"/>
  <c r="N66" i="7"/>
  <c r="K67" i="7"/>
  <c r="L67" i="7"/>
  <c r="M67" i="7"/>
  <c r="N67" i="7" s="1"/>
  <c r="K68" i="7"/>
  <c r="M68" i="7" s="1"/>
  <c r="N68" i="7" s="1"/>
  <c r="L68" i="7"/>
  <c r="K69" i="7"/>
  <c r="L69" i="7"/>
  <c r="M69" i="7"/>
  <c r="N69" i="7" s="1"/>
  <c r="K70" i="7"/>
  <c r="M70" i="7" s="1"/>
  <c r="L70" i="7"/>
  <c r="N70" i="7"/>
  <c r="K71" i="7"/>
  <c r="L71" i="7"/>
  <c r="M71" i="7" s="1"/>
  <c r="N71" i="7" s="1"/>
  <c r="K72" i="7"/>
  <c r="M72" i="7" s="1"/>
  <c r="L72" i="7"/>
  <c r="N72" i="7"/>
  <c r="K73" i="7"/>
  <c r="L73" i="7"/>
  <c r="M73" i="7" s="1"/>
  <c r="N73" i="7" s="1"/>
  <c r="K74" i="7"/>
  <c r="M74" i="7" s="1"/>
  <c r="L74" i="7"/>
  <c r="N74" i="7"/>
  <c r="K75" i="7"/>
  <c r="L75" i="7"/>
  <c r="M75" i="7" s="1"/>
  <c r="N75" i="7" s="1"/>
  <c r="K76" i="7"/>
  <c r="M76" i="7" s="1"/>
  <c r="N76" i="7" s="1"/>
  <c r="L76" i="7"/>
  <c r="K77" i="7"/>
  <c r="L77" i="7"/>
  <c r="M77" i="7"/>
  <c r="N77" i="7" s="1"/>
  <c r="K78" i="7"/>
  <c r="M78" i="7" s="1"/>
  <c r="L78" i="7"/>
  <c r="N78" i="7"/>
  <c r="K79" i="7"/>
  <c r="L79" i="7"/>
  <c r="M79" i="7" s="1"/>
  <c r="N79" i="7" s="1"/>
  <c r="K80" i="7"/>
  <c r="M80" i="7" s="1"/>
  <c r="L80" i="7"/>
  <c r="N80" i="7"/>
  <c r="K81" i="7"/>
  <c r="L81" i="7"/>
  <c r="M81" i="7" s="1"/>
  <c r="N81" i="7" s="1"/>
  <c r="K82" i="7"/>
  <c r="M82" i="7" s="1"/>
  <c r="L82" i="7"/>
  <c r="N82" i="7"/>
  <c r="K83" i="7"/>
  <c r="L83" i="7"/>
  <c r="M83" i="7" s="1"/>
  <c r="N83" i="7" s="1"/>
  <c r="K84" i="7"/>
  <c r="M84" i="7" s="1"/>
  <c r="N84" i="7" s="1"/>
  <c r="L84" i="7"/>
  <c r="K85" i="7"/>
  <c r="L85" i="7"/>
  <c r="M85" i="7"/>
  <c r="N85" i="7" s="1"/>
  <c r="K86" i="7"/>
  <c r="M86" i="7" s="1"/>
  <c r="L86" i="7"/>
  <c r="N86" i="7"/>
  <c r="K87" i="7"/>
  <c r="L87" i="7"/>
  <c r="M87" i="7" s="1"/>
  <c r="N87" i="7" s="1"/>
  <c r="K88" i="7"/>
  <c r="M88" i="7" s="1"/>
  <c r="L88" i="7"/>
  <c r="N88" i="7"/>
  <c r="K89" i="7"/>
  <c r="L89" i="7"/>
  <c r="M89" i="7" s="1"/>
  <c r="N89" i="7" s="1"/>
  <c r="K90" i="7"/>
  <c r="M90" i="7" s="1"/>
  <c r="L90" i="7"/>
  <c r="N90" i="7"/>
  <c r="K91" i="7"/>
  <c r="L91" i="7"/>
  <c r="M91" i="7" s="1"/>
  <c r="N91" i="7" s="1"/>
  <c r="K92" i="7"/>
  <c r="M92" i="7" s="1"/>
  <c r="N92" i="7" s="1"/>
  <c r="L92" i="7"/>
  <c r="K93" i="7"/>
  <c r="L93" i="7"/>
  <c r="M93" i="7"/>
  <c r="N93" i="7" s="1"/>
  <c r="K94" i="7"/>
  <c r="M94" i="7" s="1"/>
  <c r="N94" i="7" s="1"/>
  <c r="L94" i="7"/>
  <c r="K95" i="7"/>
  <c r="L95" i="7"/>
  <c r="M95" i="7" s="1"/>
  <c r="N95" i="7" s="1"/>
  <c r="K96" i="7"/>
  <c r="M96" i="7" s="1"/>
  <c r="L96" i="7"/>
  <c r="N96" i="7"/>
  <c r="K97" i="7"/>
  <c r="L97" i="7"/>
  <c r="M97" i="7" s="1"/>
  <c r="N97" i="7" s="1"/>
  <c r="K98" i="7"/>
  <c r="M98" i="7" s="1"/>
  <c r="L98" i="7"/>
  <c r="N98" i="7"/>
  <c r="K99" i="7"/>
  <c r="L99" i="7"/>
  <c r="M99" i="7" s="1"/>
  <c r="N99" i="7" s="1"/>
  <c r="K100" i="7"/>
  <c r="M100" i="7" s="1"/>
  <c r="N100" i="7" s="1"/>
  <c r="L100" i="7"/>
  <c r="K101" i="7"/>
  <c r="L101" i="7"/>
  <c r="M101" i="7"/>
  <c r="N101" i="7" s="1"/>
  <c r="K102" i="7"/>
  <c r="M102" i="7" s="1"/>
  <c r="L102" i="7"/>
  <c r="N102" i="7"/>
  <c r="K103" i="7"/>
  <c r="L103" i="7"/>
  <c r="M103" i="7" s="1"/>
  <c r="N103" i="7" s="1"/>
  <c r="K104" i="7"/>
  <c r="M104" i="7" s="1"/>
  <c r="L104" i="7"/>
  <c r="N104" i="7"/>
  <c r="K105" i="7"/>
  <c r="L105" i="7"/>
  <c r="M105" i="7" s="1"/>
  <c r="N105" i="7" s="1"/>
  <c r="K106" i="7"/>
  <c r="M106" i="7" s="1"/>
  <c r="N106" i="7" s="1"/>
  <c r="P106" i="7" s="1"/>
  <c r="L106" i="7"/>
  <c r="K107" i="7"/>
  <c r="L107" i="7"/>
  <c r="K108" i="7"/>
  <c r="M108" i="7" s="1"/>
  <c r="N108" i="7" s="1"/>
  <c r="L108" i="7"/>
  <c r="K109" i="7"/>
  <c r="L109" i="7"/>
  <c r="M109" i="7"/>
  <c r="N109" i="7" s="1"/>
  <c r="K110" i="7"/>
  <c r="M110" i="7" s="1"/>
  <c r="L110" i="7"/>
  <c r="N110" i="7"/>
  <c r="K111" i="7"/>
  <c r="L111" i="7"/>
  <c r="M111" i="7" s="1"/>
  <c r="N111" i="7" s="1"/>
  <c r="K112" i="7"/>
  <c r="M112" i="7" s="1"/>
  <c r="L112" i="7"/>
  <c r="N112" i="7"/>
  <c r="K113" i="7"/>
  <c r="L113" i="7"/>
  <c r="M113" i="7" s="1"/>
  <c r="N113" i="7" s="1"/>
  <c r="K114" i="7"/>
  <c r="M114" i="7" s="1"/>
  <c r="L114" i="7"/>
  <c r="N114" i="7"/>
  <c r="K115" i="7"/>
  <c r="L115" i="7"/>
  <c r="M115" i="7" s="1"/>
  <c r="N115" i="7" s="1"/>
  <c r="K116" i="7"/>
  <c r="M116" i="7" s="1"/>
  <c r="N116" i="7" s="1"/>
  <c r="L116" i="7"/>
  <c r="K117" i="7"/>
  <c r="L117" i="7"/>
  <c r="M117" i="7"/>
  <c r="N117" i="7" s="1"/>
  <c r="K118" i="7"/>
  <c r="M118" i="7" s="1"/>
  <c r="L118" i="7"/>
  <c r="N118" i="7"/>
  <c r="K119" i="7"/>
  <c r="L119" i="7"/>
  <c r="M119" i="7" s="1"/>
  <c r="N119" i="7" s="1"/>
  <c r="K120" i="7"/>
  <c r="M120" i="7" s="1"/>
  <c r="L120" i="7"/>
  <c r="N120" i="7"/>
  <c r="K121" i="7"/>
  <c r="L121" i="7"/>
  <c r="M121" i="7" s="1"/>
  <c r="N121" i="7" s="1"/>
  <c r="K122" i="7"/>
  <c r="M122" i="7" s="1"/>
  <c r="L122" i="7"/>
  <c r="N122" i="7"/>
  <c r="K123" i="7"/>
  <c r="L123" i="7"/>
  <c r="M123" i="7" s="1"/>
  <c r="N123" i="7" s="1"/>
  <c r="K124" i="7"/>
  <c r="M124" i="7" s="1"/>
  <c r="N124" i="7" s="1"/>
  <c r="L124" i="7"/>
  <c r="K125" i="7"/>
  <c r="L125" i="7"/>
  <c r="M125" i="7"/>
  <c r="N125" i="7" s="1"/>
  <c r="K126" i="7"/>
  <c r="M126" i="7" s="1"/>
  <c r="L126" i="7"/>
  <c r="N126" i="7"/>
  <c r="K127" i="7"/>
  <c r="L127" i="7"/>
  <c r="M127" i="7" s="1"/>
  <c r="N127" i="7" s="1"/>
  <c r="K128" i="7"/>
  <c r="M128" i="7" s="1"/>
  <c r="L128" i="7"/>
  <c r="N128" i="7"/>
  <c r="K129" i="7"/>
  <c r="L129" i="7"/>
  <c r="M129" i="7" s="1"/>
  <c r="N129" i="7" s="1"/>
  <c r="K130" i="7"/>
  <c r="M130" i="7" s="1"/>
  <c r="L130" i="7"/>
  <c r="N130" i="7"/>
  <c r="K131" i="7"/>
  <c r="L131" i="7"/>
  <c r="M131" i="7" s="1"/>
  <c r="N131" i="7" s="1"/>
  <c r="K132" i="7"/>
  <c r="M132" i="7" s="1"/>
  <c r="N132" i="7" s="1"/>
  <c r="L132" i="7"/>
  <c r="K133" i="7"/>
  <c r="L133" i="7"/>
  <c r="M133" i="7"/>
  <c r="N133" i="7" s="1"/>
  <c r="K134" i="7"/>
  <c r="M134" i="7" s="1"/>
  <c r="L134" i="7"/>
  <c r="N134" i="7"/>
  <c r="K135" i="7"/>
  <c r="L135" i="7"/>
  <c r="M135" i="7" s="1"/>
  <c r="N135" i="7" s="1"/>
  <c r="K136" i="7"/>
  <c r="M136" i="7" s="1"/>
  <c r="L136" i="7"/>
  <c r="N136" i="7"/>
  <c r="K137" i="7"/>
  <c r="L137" i="7"/>
  <c r="M137" i="7" s="1"/>
  <c r="N137" i="7" s="1"/>
  <c r="K138" i="7"/>
  <c r="M138" i="7" s="1"/>
  <c r="L138" i="7"/>
  <c r="N138" i="7"/>
  <c r="K139" i="7"/>
  <c r="L139" i="7"/>
  <c r="M139" i="7" s="1"/>
  <c r="N139" i="7" s="1"/>
  <c r="K140" i="7"/>
  <c r="M140" i="7" s="1"/>
  <c r="N140" i="7" s="1"/>
  <c r="L140" i="7"/>
  <c r="K141" i="7"/>
  <c r="L141" i="7"/>
  <c r="M141" i="7"/>
  <c r="N141" i="7" s="1"/>
  <c r="K142" i="7"/>
  <c r="M142" i="7" s="1"/>
  <c r="L142" i="7"/>
  <c r="N142" i="7"/>
  <c r="K143" i="7"/>
  <c r="L143" i="7"/>
  <c r="M143" i="7" s="1"/>
  <c r="N143" i="7" s="1"/>
  <c r="K144" i="7"/>
  <c r="M144" i="7" s="1"/>
  <c r="L144" i="7"/>
  <c r="N144" i="7"/>
  <c r="K145" i="7"/>
  <c r="L145" i="7"/>
  <c r="M145" i="7" s="1"/>
  <c r="N145" i="7" s="1"/>
  <c r="K146" i="7"/>
  <c r="M146" i="7" s="1"/>
  <c r="L146" i="7"/>
  <c r="N146" i="7"/>
  <c r="K147" i="7"/>
  <c r="L147" i="7"/>
  <c r="M147" i="7" s="1"/>
  <c r="N147" i="7" s="1"/>
  <c r="K148" i="7"/>
  <c r="M148" i="7" s="1"/>
  <c r="N148" i="7" s="1"/>
  <c r="L148" i="7"/>
  <c r="K149" i="7"/>
  <c r="L149" i="7"/>
  <c r="M149" i="7"/>
  <c r="N149" i="7" s="1"/>
  <c r="K150" i="7"/>
  <c r="M150" i="7" s="1"/>
  <c r="N150" i="7" s="1"/>
  <c r="L150" i="7"/>
  <c r="K151" i="7"/>
  <c r="L151" i="7"/>
  <c r="M151" i="7" s="1"/>
  <c r="N151" i="7" s="1"/>
  <c r="K152" i="7"/>
  <c r="M152" i="7" s="1"/>
  <c r="L152" i="7"/>
  <c r="N152" i="7"/>
  <c r="K153" i="7"/>
  <c r="L153" i="7"/>
  <c r="M153" i="7" s="1"/>
  <c r="N153" i="7" s="1"/>
  <c r="K154" i="7"/>
  <c r="M154" i="7" s="1"/>
  <c r="L154" i="7"/>
  <c r="N154" i="7"/>
  <c r="K155" i="7"/>
  <c r="M155" i="7" s="1"/>
  <c r="N155" i="7" s="1"/>
  <c r="L155" i="7"/>
  <c r="K156" i="7"/>
  <c r="M156" i="7" s="1"/>
  <c r="N156" i="7" s="1"/>
  <c r="L156" i="7"/>
  <c r="K157" i="7"/>
  <c r="L157" i="7"/>
  <c r="M157" i="7"/>
  <c r="N157" i="7" s="1"/>
  <c r="K158" i="7"/>
  <c r="M158" i="7" s="1"/>
  <c r="N158" i="7" s="1"/>
  <c r="L158" i="7"/>
  <c r="K159" i="7"/>
  <c r="M159" i="7" s="1"/>
  <c r="N159" i="7" s="1"/>
  <c r="L159" i="7"/>
  <c r="K160" i="7"/>
  <c r="L160" i="7"/>
  <c r="K161" i="7"/>
  <c r="M161" i="7" s="1"/>
  <c r="N161" i="7" s="1"/>
  <c r="L161" i="7"/>
  <c r="K162" i="7"/>
  <c r="M162" i="7" s="1"/>
  <c r="L162" i="7"/>
  <c r="N162" i="7"/>
  <c r="K163" i="7"/>
  <c r="M163" i="7" s="1"/>
  <c r="N163" i="7" s="1"/>
  <c r="L163" i="7"/>
  <c r="K164" i="7"/>
  <c r="M164" i="7" s="1"/>
  <c r="N164" i="7" s="1"/>
  <c r="L164" i="7"/>
  <c r="K165" i="7"/>
  <c r="L165" i="7"/>
  <c r="M165" i="7"/>
  <c r="N165" i="7" s="1"/>
  <c r="K166" i="7"/>
  <c r="M166" i="7" s="1"/>
  <c r="N166" i="7" s="1"/>
  <c r="L166" i="7"/>
  <c r="K167" i="7"/>
  <c r="M167" i="7" s="1"/>
  <c r="N167" i="7" s="1"/>
  <c r="L167" i="7"/>
  <c r="K168" i="7"/>
  <c r="L168" i="7"/>
  <c r="K169" i="7"/>
  <c r="M169" i="7" s="1"/>
  <c r="N169" i="7" s="1"/>
  <c r="L169" i="7"/>
  <c r="K170" i="7"/>
  <c r="M170" i="7" s="1"/>
  <c r="L170" i="7"/>
  <c r="N170" i="7"/>
  <c r="K171" i="7"/>
  <c r="M171" i="7" s="1"/>
  <c r="N171" i="7" s="1"/>
  <c r="L171" i="7"/>
  <c r="K172" i="7"/>
  <c r="M172" i="7" s="1"/>
  <c r="N172" i="7" s="1"/>
  <c r="L172" i="7"/>
  <c r="K173" i="7"/>
  <c r="L173" i="7"/>
  <c r="M173" i="7"/>
  <c r="N173" i="7" s="1"/>
  <c r="K174" i="7"/>
  <c r="M174" i="7" s="1"/>
  <c r="N174" i="7" s="1"/>
  <c r="L174" i="7"/>
  <c r="K175" i="7"/>
  <c r="M175" i="7" s="1"/>
  <c r="N175" i="7" s="1"/>
  <c r="L175" i="7"/>
  <c r="K176" i="7"/>
  <c r="L176" i="7"/>
  <c r="M176" i="7" s="1"/>
  <c r="N176" i="7" s="1"/>
  <c r="K177" i="7"/>
  <c r="M177" i="7" s="1"/>
  <c r="N177" i="7" s="1"/>
  <c r="L177" i="7"/>
  <c r="K178" i="7"/>
  <c r="M178" i="7" s="1"/>
  <c r="N178" i="7" s="1"/>
  <c r="L178" i="7"/>
  <c r="K179" i="7"/>
  <c r="M179" i="7" s="1"/>
  <c r="N179" i="7" s="1"/>
  <c r="L179" i="7"/>
  <c r="K180" i="7"/>
  <c r="M180" i="7" s="1"/>
  <c r="N180" i="7" s="1"/>
  <c r="L180" i="7"/>
  <c r="K181" i="7"/>
  <c r="M181" i="7" s="1"/>
  <c r="N181" i="7" s="1"/>
  <c r="L181" i="7"/>
  <c r="K182" i="7"/>
  <c r="M182" i="7" s="1"/>
  <c r="N182" i="7" s="1"/>
  <c r="L182" i="7"/>
  <c r="K183" i="7"/>
  <c r="M183" i="7" s="1"/>
  <c r="N183" i="7" s="1"/>
  <c r="L183" i="7"/>
  <c r="K184" i="7"/>
  <c r="M184" i="7" s="1"/>
  <c r="N184" i="7" s="1"/>
  <c r="L184" i="7"/>
  <c r="K185" i="7"/>
  <c r="M185" i="7" s="1"/>
  <c r="N185" i="7" s="1"/>
  <c r="L185" i="7"/>
  <c r="K186" i="7"/>
  <c r="M186" i="7" s="1"/>
  <c r="N186" i="7" s="1"/>
  <c r="L186" i="7"/>
  <c r="K187" i="7"/>
  <c r="M187" i="7" s="1"/>
  <c r="N187" i="7" s="1"/>
  <c r="L187" i="7"/>
  <c r="D5" i="7"/>
  <c r="G5" i="7" s="1"/>
  <c r="E5" i="7"/>
  <c r="F5" i="7"/>
  <c r="D6" i="7"/>
  <c r="E6" i="7"/>
  <c r="F6" i="7"/>
  <c r="D7" i="7"/>
  <c r="E7" i="7"/>
  <c r="F7" i="7"/>
  <c r="G7" i="7"/>
  <c r="D8" i="7"/>
  <c r="E8" i="7"/>
  <c r="F8" i="7"/>
  <c r="G8" i="7" s="1"/>
  <c r="D9" i="7"/>
  <c r="E9" i="7"/>
  <c r="F9" i="7"/>
  <c r="G9" i="7"/>
  <c r="D10" i="7"/>
  <c r="E10" i="7"/>
  <c r="F10" i="7"/>
  <c r="D11" i="7"/>
  <c r="E11" i="7"/>
  <c r="F11" i="7"/>
  <c r="G11" i="7"/>
  <c r="D12" i="7"/>
  <c r="E12" i="7"/>
  <c r="G12" i="7" s="1"/>
  <c r="F12" i="7"/>
  <c r="D13" i="7"/>
  <c r="E13" i="7"/>
  <c r="F13" i="7"/>
  <c r="G13" i="7"/>
  <c r="D14" i="7"/>
  <c r="E14" i="7"/>
  <c r="F14" i="7"/>
  <c r="D15" i="7"/>
  <c r="E15" i="7"/>
  <c r="F15" i="7"/>
  <c r="G15" i="7"/>
  <c r="D16" i="7"/>
  <c r="E16" i="7"/>
  <c r="G16" i="7" s="1"/>
  <c r="F16" i="7"/>
  <c r="D17" i="7"/>
  <c r="E17" i="7"/>
  <c r="F17" i="7"/>
  <c r="G17" i="7"/>
  <c r="D18" i="7"/>
  <c r="E18" i="7"/>
  <c r="F18" i="7"/>
  <c r="D19" i="7"/>
  <c r="E19" i="7"/>
  <c r="F19" i="7"/>
  <c r="G19" i="7"/>
  <c r="D20" i="7"/>
  <c r="E20" i="7"/>
  <c r="G20" i="7" s="1"/>
  <c r="F20" i="7"/>
  <c r="D21" i="7"/>
  <c r="E21" i="7"/>
  <c r="F21" i="7"/>
  <c r="G21" i="7"/>
  <c r="D22" i="7"/>
  <c r="E22" i="7"/>
  <c r="F22" i="7"/>
  <c r="D23" i="7"/>
  <c r="E23" i="7"/>
  <c r="F23" i="7"/>
  <c r="G23" i="7"/>
  <c r="D24" i="7"/>
  <c r="E24" i="7"/>
  <c r="F24" i="7"/>
  <c r="G24" i="7" s="1"/>
  <c r="D25" i="7"/>
  <c r="E25" i="7"/>
  <c r="F25" i="7"/>
  <c r="G25" i="7"/>
  <c r="D26" i="7"/>
  <c r="G26" i="7" s="1"/>
  <c r="E26" i="7"/>
  <c r="F26" i="7"/>
  <c r="D27" i="7"/>
  <c r="E27" i="7"/>
  <c r="F27" i="7"/>
  <c r="G27" i="7"/>
  <c r="D28" i="7"/>
  <c r="E28" i="7"/>
  <c r="F28" i="7"/>
  <c r="G28" i="7" s="1"/>
  <c r="D29" i="7"/>
  <c r="E29" i="7"/>
  <c r="F29" i="7"/>
  <c r="G29" i="7"/>
  <c r="D30" i="7"/>
  <c r="E30" i="7"/>
  <c r="F30" i="7"/>
  <c r="D31" i="7"/>
  <c r="E31" i="7"/>
  <c r="F31" i="7"/>
  <c r="G31" i="7"/>
  <c r="D32" i="7"/>
  <c r="E32" i="7"/>
  <c r="F32" i="7"/>
  <c r="G32" i="7" s="1"/>
  <c r="D33" i="7"/>
  <c r="G33" i="7" s="1"/>
  <c r="E33" i="7"/>
  <c r="F33" i="7"/>
  <c r="D34" i="7"/>
  <c r="G34" i="7" s="1"/>
  <c r="E34" i="7"/>
  <c r="F34" i="7"/>
  <c r="D35" i="7"/>
  <c r="E35" i="7"/>
  <c r="F35" i="7"/>
  <c r="G35" i="7"/>
  <c r="D36" i="7"/>
  <c r="G36" i="7" s="1"/>
  <c r="E36" i="7"/>
  <c r="F36" i="7"/>
  <c r="D37" i="7"/>
  <c r="G37" i="7" s="1"/>
  <c r="E37" i="7"/>
  <c r="F37" i="7"/>
  <c r="D38" i="7"/>
  <c r="E38" i="7"/>
  <c r="F38" i="7"/>
  <c r="D39" i="7"/>
  <c r="E39" i="7"/>
  <c r="F39" i="7"/>
  <c r="G39" i="7"/>
  <c r="D40" i="7"/>
  <c r="E40" i="7"/>
  <c r="F40" i="7"/>
  <c r="G40" i="7" s="1"/>
  <c r="D41" i="7"/>
  <c r="G41" i="7" s="1"/>
  <c r="E41" i="7"/>
  <c r="F41" i="7"/>
  <c r="D42" i="7"/>
  <c r="E42" i="7"/>
  <c r="F42" i="7"/>
  <c r="D43" i="7"/>
  <c r="E43" i="7"/>
  <c r="F43" i="7"/>
  <c r="G43" i="7"/>
  <c r="D44" i="7"/>
  <c r="E44" i="7"/>
  <c r="F44" i="7"/>
  <c r="G44" i="7" s="1"/>
  <c r="D45" i="7"/>
  <c r="G45" i="7" s="1"/>
  <c r="E45" i="7"/>
  <c r="F45" i="7"/>
  <c r="D46" i="7"/>
  <c r="E46" i="7"/>
  <c r="F46" i="7"/>
  <c r="D47" i="7"/>
  <c r="E47" i="7"/>
  <c r="F47" i="7"/>
  <c r="G47" i="7"/>
  <c r="D48" i="7"/>
  <c r="E48" i="7"/>
  <c r="F48" i="7"/>
  <c r="G48" i="7" s="1"/>
  <c r="D49" i="7"/>
  <c r="G49" i="7" s="1"/>
  <c r="E49" i="7"/>
  <c r="F49" i="7"/>
  <c r="D50" i="7"/>
  <c r="E50" i="7"/>
  <c r="F50" i="7"/>
  <c r="D51" i="7"/>
  <c r="E51" i="7"/>
  <c r="F51" i="7"/>
  <c r="G51" i="7"/>
  <c r="D52" i="7"/>
  <c r="G52" i="7" s="1"/>
  <c r="E52" i="7"/>
  <c r="F52" i="7"/>
  <c r="D53" i="7"/>
  <c r="E53" i="7"/>
  <c r="F53" i="7"/>
  <c r="G53" i="7"/>
  <c r="D54" i="7"/>
  <c r="E54" i="7"/>
  <c r="F54" i="7"/>
  <c r="D55" i="7"/>
  <c r="E55" i="7"/>
  <c r="F55" i="7"/>
  <c r="G55" i="7"/>
  <c r="D56" i="7"/>
  <c r="E56" i="7"/>
  <c r="G56" i="7" s="1"/>
  <c r="F56" i="7"/>
  <c r="D57" i="7"/>
  <c r="E57" i="7"/>
  <c r="F57" i="7"/>
  <c r="G57" i="7"/>
  <c r="D58" i="7"/>
  <c r="E58" i="7"/>
  <c r="F58" i="7"/>
  <c r="D59" i="7"/>
  <c r="E59" i="7"/>
  <c r="F59" i="7"/>
  <c r="G59" i="7"/>
  <c r="D60" i="7"/>
  <c r="E60" i="7"/>
  <c r="G60" i="7" s="1"/>
  <c r="F60" i="7"/>
  <c r="D61" i="7"/>
  <c r="E61" i="7"/>
  <c r="F61" i="7"/>
  <c r="G61" i="7"/>
  <c r="D62" i="7"/>
  <c r="E62" i="7"/>
  <c r="F62" i="7"/>
  <c r="D63" i="7"/>
  <c r="E63" i="7"/>
  <c r="F63" i="7"/>
  <c r="G63" i="7"/>
  <c r="D64" i="7"/>
  <c r="E64" i="7"/>
  <c r="G64" i="7" s="1"/>
  <c r="F64" i="7"/>
  <c r="D65" i="7"/>
  <c r="E65" i="7"/>
  <c r="F65" i="7"/>
  <c r="G65" i="7"/>
  <c r="D66" i="7"/>
  <c r="G66" i="7" s="1"/>
  <c r="E66" i="7"/>
  <c r="F66" i="7"/>
  <c r="D67" i="7"/>
  <c r="E67" i="7"/>
  <c r="F67" i="7"/>
  <c r="G67" i="7"/>
  <c r="D68" i="7"/>
  <c r="G68" i="7" s="1"/>
  <c r="E68" i="7"/>
  <c r="F68" i="7"/>
  <c r="D69" i="7"/>
  <c r="G69" i="7" s="1"/>
  <c r="E69" i="7"/>
  <c r="F69" i="7"/>
  <c r="D70" i="7"/>
  <c r="E70" i="7"/>
  <c r="F70" i="7"/>
  <c r="D71" i="7"/>
  <c r="E71" i="7"/>
  <c r="F71" i="7"/>
  <c r="G71" i="7"/>
  <c r="D72" i="7"/>
  <c r="G72" i="7" s="1"/>
  <c r="E72" i="7"/>
  <c r="F72" i="7"/>
  <c r="D73" i="7"/>
  <c r="G73" i="7" s="1"/>
  <c r="E73" i="7"/>
  <c r="F73" i="7"/>
  <c r="D74" i="7"/>
  <c r="E74" i="7"/>
  <c r="F74" i="7"/>
  <c r="D75" i="7"/>
  <c r="E75" i="7"/>
  <c r="F75" i="7"/>
  <c r="G75" i="7"/>
  <c r="D76" i="7"/>
  <c r="E76" i="7"/>
  <c r="F76" i="7"/>
  <c r="G76" i="7"/>
  <c r="D77" i="7"/>
  <c r="E77" i="7"/>
  <c r="F77" i="7"/>
  <c r="D78" i="7"/>
  <c r="E78" i="7"/>
  <c r="F78" i="7"/>
  <c r="D79" i="7"/>
  <c r="E79" i="7"/>
  <c r="F79" i="7"/>
  <c r="G79" i="7"/>
  <c r="D80" i="7"/>
  <c r="E80" i="7"/>
  <c r="F80" i="7"/>
  <c r="G80" i="7" s="1"/>
  <c r="D81" i="7"/>
  <c r="G81" i="7" s="1"/>
  <c r="E81" i="7"/>
  <c r="F81" i="7"/>
  <c r="D82" i="7"/>
  <c r="E82" i="7"/>
  <c r="F82" i="7"/>
  <c r="D83" i="7"/>
  <c r="E83" i="7"/>
  <c r="F83" i="7"/>
  <c r="G83" i="7"/>
  <c r="D84" i="7"/>
  <c r="G84" i="7" s="1"/>
  <c r="E84" i="7"/>
  <c r="F84" i="7"/>
  <c r="D85" i="7"/>
  <c r="G85" i="7" s="1"/>
  <c r="E85" i="7"/>
  <c r="F85" i="7"/>
  <c r="D86" i="7"/>
  <c r="E86" i="7"/>
  <c r="F86" i="7"/>
  <c r="D87" i="7"/>
  <c r="E87" i="7"/>
  <c r="F87" i="7"/>
  <c r="G87" i="7" s="1"/>
  <c r="D88" i="7"/>
  <c r="G88" i="7" s="1"/>
  <c r="E88" i="7"/>
  <c r="F88" i="7"/>
  <c r="D89" i="7"/>
  <c r="G89" i="7" s="1"/>
  <c r="E89" i="7"/>
  <c r="F89" i="7"/>
  <c r="D90" i="7"/>
  <c r="E90" i="7"/>
  <c r="F90" i="7"/>
  <c r="D91" i="7"/>
  <c r="E91" i="7"/>
  <c r="F91" i="7"/>
  <c r="G91" i="7" s="1"/>
  <c r="D92" i="7"/>
  <c r="G92" i="7" s="1"/>
  <c r="E92" i="7"/>
  <c r="F92" i="7"/>
  <c r="D93" i="7"/>
  <c r="G93" i="7" s="1"/>
  <c r="E93" i="7"/>
  <c r="F93" i="7"/>
  <c r="D94" i="7"/>
  <c r="E94" i="7"/>
  <c r="F94" i="7"/>
  <c r="D95" i="7"/>
  <c r="E95" i="7"/>
  <c r="F95" i="7"/>
  <c r="G95" i="7"/>
  <c r="D96" i="7"/>
  <c r="G96" i="7" s="1"/>
  <c r="E96" i="7"/>
  <c r="F96" i="7"/>
  <c r="D97" i="7"/>
  <c r="G97" i="7" s="1"/>
  <c r="E97" i="7"/>
  <c r="F97" i="7"/>
  <c r="D98" i="7"/>
  <c r="G98" i="7" s="1"/>
  <c r="E98" i="7"/>
  <c r="F98" i="7"/>
  <c r="D99" i="7"/>
  <c r="E99" i="7"/>
  <c r="F99" i="7"/>
  <c r="G99" i="7"/>
  <c r="D100" i="7"/>
  <c r="G100" i="7" s="1"/>
  <c r="E100" i="7"/>
  <c r="F100" i="7"/>
  <c r="D101" i="7"/>
  <c r="G101" i="7" s="1"/>
  <c r="E101" i="7"/>
  <c r="F101" i="7"/>
  <c r="D102" i="7"/>
  <c r="G102" i="7" s="1"/>
  <c r="E102" i="7"/>
  <c r="F102" i="7"/>
  <c r="D103" i="7"/>
  <c r="E103" i="7"/>
  <c r="F103" i="7"/>
  <c r="G103" i="7"/>
  <c r="D104" i="7"/>
  <c r="G104" i="7" s="1"/>
  <c r="E104" i="7"/>
  <c r="F104" i="7"/>
  <c r="D105" i="7"/>
  <c r="E105" i="7"/>
  <c r="F105" i="7"/>
  <c r="G105" i="7"/>
  <c r="D106" i="7"/>
  <c r="G106" i="7" s="1"/>
  <c r="E106" i="7"/>
  <c r="F106" i="7"/>
  <c r="D107" i="7"/>
  <c r="G107" i="7" s="1"/>
  <c r="E107" i="7"/>
  <c r="F107" i="7"/>
  <c r="D108" i="7"/>
  <c r="G108" i="7" s="1"/>
  <c r="E108" i="7"/>
  <c r="F108" i="7"/>
  <c r="D109" i="7"/>
  <c r="E109" i="7"/>
  <c r="F109" i="7"/>
  <c r="G109" i="7"/>
  <c r="D110" i="7"/>
  <c r="E110" i="7"/>
  <c r="F110" i="7"/>
  <c r="D111" i="7"/>
  <c r="E111" i="7"/>
  <c r="F111" i="7"/>
  <c r="G111" i="7"/>
  <c r="D112" i="7"/>
  <c r="E112" i="7"/>
  <c r="G112" i="7" s="1"/>
  <c r="F112" i="7"/>
  <c r="D113" i="7"/>
  <c r="E113" i="7"/>
  <c r="F113" i="7"/>
  <c r="G113" i="7"/>
  <c r="D114" i="7"/>
  <c r="E114" i="7"/>
  <c r="F114" i="7"/>
  <c r="D115" i="7"/>
  <c r="E115" i="7"/>
  <c r="F115" i="7"/>
  <c r="G115" i="7" s="1"/>
  <c r="D116" i="7"/>
  <c r="G116" i="7" s="1"/>
  <c r="E116" i="7"/>
  <c r="F116" i="7"/>
  <c r="D117" i="7"/>
  <c r="E117" i="7"/>
  <c r="F117" i="7"/>
  <c r="G117" i="7" s="1"/>
  <c r="D118" i="7"/>
  <c r="E118" i="7"/>
  <c r="F118" i="7"/>
  <c r="D119" i="7"/>
  <c r="E119" i="7"/>
  <c r="F119" i="7"/>
  <c r="G119" i="7"/>
  <c r="D120" i="7"/>
  <c r="G120" i="7" s="1"/>
  <c r="E120" i="7"/>
  <c r="F120" i="7"/>
  <c r="D121" i="7"/>
  <c r="E121" i="7"/>
  <c r="F121" i="7"/>
  <c r="G121" i="7"/>
  <c r="D122" i="7"/>
  <c r="E122" i="7"/>
  <c r="F122" i="7"/>
  <c r="D123" i="7"/>
  <c r="E123" i="7"/>
  <c r="F123" i="7"/>
  <c r="G123" i="7"/>
  <c r="D124" i="7"/>
  <c r="G124" i="7" s="1"/>
  <c r="E124" i="7"/>
  <c r="F124" i="7"/>
  <c r="D125" i="7"/>
  <c r="E125" i="7"/>
  <c r="F125" i="7"/>
  <c r="G125" i="7"/>
  <c r="D126" i="7"/>
  <c r="E126" i="7"/>
  <c r="F126" i="7"/>
  <c r="D127" i="7"/>
  <c r="E127" i="7"/>
  <c r="F127" i="7"/>
  <c r="G127" i="7"/>
  <c r="D128" i="7"/>
  <c r="G128" i="7" s="1"/>
  <c r="E128" i="7"/>
  <c r="F128" i="7"/>
  <c r="D129" i="7"/>
  <c r="E129" i="7"/>
  <c r="F129" i="7"/>
  <c r="G129" i="7"/>
  <c r="D130" i="7"/>
  <c r="E130" i="7"/>
  <c r="F130" i="7"/>
  <c r="D131" i="7"/>
  <c r="E131" i="7"/>
  <c r="F131" i="7"/>
  <c r="G131" i="7"/>
  <c r="D132" i="7"/>
  <c r="G132" i="7" s="1"/>
  <c r="E132" i="7"/>
  <c r="F132" i="7"/>
  <c r="D133" i="7"/>
  <c r="E133" i="7"/>
  <c r="F133" i="7"/>
  <c r="G133" i="7"/>
  <c r="D134" i="7"/>
  <c r="E134" i="7"/>
  <c r="F134" i="7"/>
  <c r="D135" i="7"/>
  <c r="E135" i="7"/>
  <c r="F135" i="7"/>
  <c r="G135" i="7" s="1"/>
  <c r="D136" i="7"/>
  <c r="G136" i="7" s="1"/>
  <c r="E136" i="7"/>
  <c r="F136" i="7"/>
  <c r="D137" i="7"/>
  <c r="E137" i="7"/>
  <c r="F137" i="7"/>
  <c r="G137" i="7" s="1"/>
  <c r="D138" i="7"/>
  <c r="E138" i="7"/>
  <c r="F138" i="7"/>
  <c r="D139" i="7"/>
  <c r="E139" i="7"/>
  <c r="F139" i="7"/>
  <c r="G139" i="7"/>
  <c r="D140" i="7"/>
  <c r="G140" i="7" s="1"/>
  <c r="E140" i="7"/>
  <c r="F140" i="7"/>
  <c r="D141" i="7"/>
  <c r="G141" i="7" s="1"/>
  <c r="E141" i="7"/>
  <c r="F141" i="7"/>
  <c r="D142" i="7"/>
  <c r="G142" i="7" s="1"/>
  <c r="E142" i="7"/>
  <c r="F142" i="7"/>
  <c r="D143" i="7"/>
  <c r="E143" i="7"/>
  <c r="F143" i="7"/>
  <c r="G143" i="7"/>
  <c r="D144" i="7"/>
  <c r="G144" i="7" s="1"/>
  <c r="E144" i="7"/>
  <c r="F144" i="7"/>
  <c r="D145" i="7"/>
  <c r="E145" i="7"/>
  <c r="F145" i="7"/>
  <c r="G145" i="7" s="1"/>
  <c r="D146" i="7"/>
  <c r="G146" i="7" s="1"/>
  <c r="E146" i="7"/>
  <c r="F146" i="7"/>
  <c r="D147" i="7"/>
  <c r="E147" i="7"/>
  <c r="F147" i="7"/>
  <c r="G147" i="7"/>
  <c r="D148" i="7"/>
  <c r="G148" i="7" s="1"/>
  <c r="E148" i="7"/>
  <c r="F148" i="7"/>
  <c r="D149" i="7"/>
  <c r="E149" i="7"/>
  <c r="F149" i="7"/>
  <c r="G149" i="7"/>
  <c r="D150" i="7"/>
  <c r="G150" i="7" s="1"/>
  <c r="E150" i="7"/>
  <c r="F150" i="7"/>
  <c r="D151" i="7"/>
  <c r="E151" i="7"/>
  <c r="G151" i="7" s="1"/>
  <c r="F151" i="7"/>
  <c r="D152" i="7"/>
  <c r="G152" i="7" s="1"/>
  <c r="E152" i="7"/>
  <c r="F152" i="7"/>
  <c r="D153" i="7"/>
  <c r="E153" i="7"/>
  <c r="F153" i="7"/>
  <c r="G153" i="7" s="1"/>
  <c r="D154" i="7"/>
  <c r="G154" i="7" s="1"/>
  <c r="E154" i="7"/>
  <c r="F154" i="7"/>
  <c r="D155" i="7"/>
  <c r="E155" i="7"/>
  <c r="F155" i="7"/>
  <c r="G155" i="7"/>
  <c r="D156" i="7"/>
  <c r="E156" i="7"/>
  <c r="F156" i="7"/>
  <c r="G156" i="7"/>
  <c r="D157" i="7"/>
  <c r="E157" i="7"/>
  <c r="F157" i="7"/>
  <c r="G157" i="7"/>
  <c r="D158" i="7"/>
  <c r="G158" i="7" s="1"/>
  <c r="E158" i="7"/>
  <c r="F158" i="7"/>
  <c r="D159" i="7"/>
  <c r="E159" i="7"/>
  <c r="F159" i="7"/>
  <c r="G159" i="7"/>
  <c r="D160" i="7"/>
  <c r="E160" i="7"/>
  <c r="F160" i="7"/>
  <c r="G160" i="7" s="1"/>
  <c r="D161" i="7"/>
  <c r="E161" i="7"/>
  <c r="G161" i="7" s="1"/>
  <c r="F161" i="7"/>
  <c r="D162" i="7"/>
  <c r="G162" i="7" s="1"/>
  <c r="E162" i="7"/>
  <c r="F162" i="7"/>
  <c r="D163" i="7"/>
  <c r="E163" i="7"/>
  <c r="F163" i="7"/>
  <c r="G163" i="7"/>
  <c r="D164" i="7"/>
  <c r="E164" i="7"/>
  <c r="F164" i="7"/>
  <c r="G164" i="7"/>
  <c r="D165" i="7"/>
  <c r="E165" i="7"/>
  <c r="F165" i="7"/>
  <c r="G165" i="7"/>
  <c r="D166" i="7"/>
  <c r="E166" i="7"/>
  <c r="F166" i="7"/>
  <c r="D167" i="7"/>
  <c r="E167" i="7"/>
  <c r="F167" i="7"/>
  <c r="G167" i="7"/>
  <c r="D168" i="7"/>
  <c r="E168" i="7"/>
  <c r="F168" i="7"/>
  <c r="G168" i="7" s="1"/>
  <c r="D169" i="7"/>
  <c r="E169" i="7"/>
  <c r="G169" i="7" s="1"/>
  <c r="F169" i="7"/>
  <c r="D170" i="7"/>
  <c r="G170" i="7" s="1"/>
  <c r="E170" i="7"/>
  <c r="F170" i="7"/>
  <c r="D171" i="7"/>
  <c r="E171" i="7"/>
  <c r="F171" i="7"/>
  <c r="G171" i="7"/>
  <c r="D172" i="7"/>
  <c r="E172" i="7"/>
  <c r="F172" i="7"/>
  <c r="G172" i="7"/>
  <c r="D173" i="7"/>
  <c r="E173" i="7"/>
  <c r="F173" i="7"/>
  <c r="G173" i="7"/>
  <c r="D174" i="7"/>
  <c r="G174" i="7" s="1"/>
  <c r="E174" i="7"/>
  <c r="F174" i="7"/>
  <c r="D175" i="7"/>
  <c r="E175" i="7"/>
  <c r="F175" i="7"/>
  <c r="G175" i="7" s="1"/>
  <c r="D176" i="7"/>
  <c r="E176" i="7"/>
  <c r="F176" i="7"/>
  <c r="G176" i="7"/>
  <c r="D177" i="7"/>
  <c r="E177" i="7"/>
  <c r="G177" i="7" s="1"/>
  <c r="F177" i="7"/>
  <c r="D178" i="7"/>
  <c r="G178" i="7" s="1"/>
  <c r="E178" i="7"/>
  <c r="F178" i="7"/>
  <c r="D179" i="7"/>
  <c r="G179" i="7" s="1"/>
  <c r="E179" i="7"/>
  <c r="F179" i="7"/>
  <c r="D180" i="7"/>
  <c r="E180" i="7"/>
  <c r="F180" i="7"/>
  <c r="G180" i="7"/>
  <c r="D181" i="7"/>
  <c r="E181" i="7"/>
  <c r="G181" i="7" s="1"/>
  <c r="F181" i="7"/>
  <c r="D182" i="7"/>
  <c r="G182" i="7" s="1"/>
  <c r="E182" i="7"/>
  <c r="F182" i="7"/>
  <c r="D183" i="7"/>
  <c r="G183" i="7" s="1"/>
  <c r="E183" i="7"/>
  <c r="F183" i="7"/>
  <c r="D184" i="7"/>
  <c r="E184" i="7"/>
  <c r="F184" i="7"/>
  <c r="G184" i="7"/>
  <c r="D185" i="7"/>
  <c r="E185" i="7"/>
  <c r="G185" i="7" s="1"/>
  <c r="F185" i="7"/>
  <c r="D186" i="7"/>
  <c r="G186" i="7" s="1"/>
  <c r="E186" i="7"/>
  <c r="F186" i="7"/>
  <c r="D187" i="7"/>
  <c r="G187" i="7" s="1"/>
  <c r="E187" i="7"/>
  <c r="F187" i="7"/>
  <c r="H4" i="7"/>
  <c r="AE5" i="7"/>
  <c r="AE6" i="7"/>
  <c r="AE7" i="7"/>
  <c r="AE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Z8" i="7"/>
  <c r="Z9" i="7"/>
  <c r="Z10" i="7"/>
  <c r="Z11" i="7"/>
  <c r="Z12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Z70" i="7"/>
  <c r="Z71" i="7"/>
  <c r="Z72" i="7"/>
  <c r="Z73" i="7"/>
  <c r="Z74" i="7"/>
  <c r="Z75" i="7"/>
  <c r="Z76" i="7"/>
  <c r="Z77" i="7"/>
  <c r="Z78" i="7"/>
  <c r="Z79" i="7"/>
  <c r="Z80" i="7"/>
  <c r="Z81" i="7"/>
  <c r="Z82" i="7"/>
  <c r="Z83" i="7"/>
  <c r="Z84" i="7"/>
  <c r="Z85" i="7"/>
  <c r="Z86" i="7"/>
  <c r="Z87" i="7"/>
  <c r="Z88" i="7"/>
  <c r="Z89" i="7"/>
  <c r="Z90" i="7"/>
  <c r="Z91" i="7"/>
  <c r="Z92" i="7"/>
  <c r="Z93" i="7"/>
  <c r="Z94" i="7"/>
  <c r="Z95" i="7"/>
  <c r="Z96" i="7"/>
  <c r="Z97" i="7"/>
  <c r="Z98" i="7"/>
  <c r="Z99" i="7"/>
  <c r="Z100" i="7"/>
  <c r="Z101" i="7"/>
  <c r="Z102" i="7"/>
  <c r="Z103" i="7"/>
  <c r="Z104" i="7"/>
  <c r="Z105" i="7"/>
  <c r="Z106" i="7"/>
  <c r="Z107" i="7"/>
  <c r="Z108" i="7"/>
  <c r="Z109" i="7"/>
  <c r="Z110" i="7"/>
  <c r="Z111" i="7"/>
  <c r="Z112" i="7"/>
  <c r="Z113" i="7"/>
  <c r="Z114" i="7"/>
  <c r="Z115" i="7"/>
  <c r="Z116" i="7"/>
  <c r="Z117" i="7"/>
  <c r="Z118" i="7"/>
  <c r="Z119" i="7"/>
  <c r="Z120" i="7"/>
  <c r="Z121" i="7"/>
  <c r="Z122" i="7"/>
  <c r="Z123" i="7"/>
  <c r="Z124" i="7"/>
  <c r="Z125" i="7"/>
  <c r="Z126" i="7"/>
  <c r="Z127" i="7"/>
  <c r="Z128" i="7"/>
  <c r="Z129" i="7"/>
  <c r="Z130" i="7"/>
  <c r="Z131" i="7"/>
  <c r="Z132" i="7"/>
  <c r="Z133" i="7"/>
  <c r="Z134" i="7"/>
  <c r="Z135" i="7"/>
  <c r="Z136" i="7"/>
  <c r="Z137" i="7"/>
  <c r="Z138" i="7"/>
  <c r="Z139" i="7"/>
  <c r="Z140" i="7"/>
  <c r="Z141" i="7"/>
  <c r="Z142" i="7"/>
  <c r="Z143" i="7"/>
  <c r="Z144" i="7"/>
  <c r="Z145" i="7"/>
  <c r="Z146" i="7"/>
  <c r="Z147" i="7"/>
  <c r="Z148" i="7"/>
  <c r="Z149" i="7"/>
  <c r="Z150" i="7"/>
  <c r="Z151" i="7"/>
  <c r="Z152" i="7"/>
  <c r="Z153" i="7"/>
  <c r="Z154" i="7"/>
  <c r="Z155" i="7"/>
  <c r="Z156" i="7"/>
  <c r="Z157" i="7"/>
  <c r="Z158" i="7"/>
  <c r="Z159" i="7"/>
  <c r="Z160" i="7"/>
  <c r="Z161" i="7"/>
  <c r="Z162" i="7"/>
  <c r="Z163" i="7"/>
  <c r="Z164" i="7"/>
  <c r="Z165" i="7"/>
  <c r="Z166" i="7"/>
  <c r="Z167" i="7"/>
  <c r="Z168" i="7"/>
  <c r="Z169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Z183" i="7"/>
  <c r="Z184" i="7"/>
  <c r="Z185" i="7"/>
  <c r="Z186" i="7"/>
  <c r="Z187" i="7"/>
  <c r="Z5" i="7"/>
  <c r="Z6" i="7"/>
  <c r="Z7" i="7"/>
  <c r="M107" i="7" l="1"/>
  <c r="N107" i="7" s="1"/>
  <c r="P107" i="7" s="1"/>
  <c r="G77" i="7"/>
  <c r="I60" i="7"/>
  <c r="M168" i="7"/>
  <c r="N168" i="7" s="1"/>
  <c r="M160" i="7"/>
  <c r="N160" i="7" s="1"/>
  <c r="G70" i="7"/>
  <c r="G62" i="7"/>
  <c r="G38" i="7"/>
  <c r="G22" i="7"/>
  <c r="G78" i="7"/>
  <c r="G74" i="7"/>
  <c r="G58" i="7"/>
  <c r="G42" i="7"/>
  <c r="G18" i="7"/>
  <c r="G82" i="7"/>
  <c r="G54" i="7"/>
  <c r="G46" i="7"/>
  <c r="G14" i="7"/>
  <c r="G86" i="7"/>
  <c r="G50" i="7"/>
  <c r="G10" i="7"/>
  <c r="G6" i="7"/>
  <c r="G134" i="7"/>
  <c r="G114" i="7"/>
  <c r="G90" i="7"/>
  <c r="G166" i="7"/>
  <c r="G138" i="7"/>
  <c r="G130" i="7"/>
  <c r="G126" i="7"/>
  <c r="G122" i="7"/>
  <c r="G118" i="7"/>
  <c r="G110" i="7"/>
  <c r="G94" i="7"/>
  <c r="H98" i="7"/>
  <c r="I98" i="7" s="1"/>
  <c r="G30" i="7"/>
  <c r="AC4" i="13" l="1"/>
  <c r="O38" i="13"/>
  <c r="O37" i="13"/>
  <c r="H92" i="7" l="1"/>
  <c r="I92" i="7" s="1"/>
  <c r="H168" i="7" l="1"/>
  <c r="I168" i="7" s="1"/>
  <c r="H24" i="7"/>
  <c r="I24" i="7" s="1"/>
  <c r="H89" i="7" l="1"/>
  <c r="I89" i="7" s="1"/>
  <c r="H165" i="7"/>
  <c r="I165" i="7" s="1"/>
  <c r="H90" i="7"/>
  <c r="I90" i="7" s="1"/>
  <c r="H179" i="7" l="1"/>
  <c r="I179" i="7" s="1"/>
  <c r="H175" i="7"/>
  <c r="I175" i="7" s="1"/>
  <c r="H146" i="7"/>
  <c r="I146" i="7" s="1"/>
  <c r="H138" i="7"/>
  <c r="I138" i="7" s="1"/>
  <c r="H130" i="7"/>
  <c r="I130" i="7" s="1"/>
  <c r="H122" i="7"/>
  <c r="I122" i="7" s="1"/>
  <c r="H114" i="7"/>
  <c r="I114" i="7" s="1"/>
  <c r="H103" i="7"/>
  <c r="I103" i="7" s="1"/>
  <c r="H94" i="7"/>
  <c r="I94" i="7" s="1"/>
  <c r="H78" i="7"/>
  <c r="I78" i="7" s="1"/>
  <c r="H67" i="7"/>
  <c r="I67" i="7" s="1"/>
  <c r="H58" i="7"/>
  <c r="I58" i="7" s="1"/>
  <c r="H39" i="7"/>
  <c r="I39" i="7" s="1"/>
  <c r="H34" i="7" l="1"/>
  <c r="I34" i="7" s="1"/>
  <c r="H72" i="7"/>
  <c r="I72" i="7" s="1"/>
  <c r="H43" i="7"/>
  <c r="I43" i="7" s="1"/>
  <c r="H143" i="7"/>
  <c r="I143" i="7" s="1"/>
  <c r="H160" i="7"/>
  <c r="I160" i="7" s="1"/>
  <c r="H187" i="7"/>
  <c r="I187" i="7" s="1"/>
  <c r="H41" i="7"/>
  <c r="I41" i="7" s="1"/>
  <c r="H126" i="7"/>
  <c r="I126" i="7" s="1"/>
  <c r="H93" i="7"/>
  <c r="I93" i="7" s="1"/>
  <c r="H136" i="7"/>
  <c r="I136" i="7" s="1"/>
  <c r="H163" i="7"/>
  <c r="I163" i="7" s="1"/>
  <c r="H66" i="7"/>
  <c r="I66" i="7" s="1"/>
  <c r="H32" i="7"/>
  <c r="I32" i="7" s="1"/>
  <c r="H54" i="7"/>
  <c r="I54" i="7" s="1"/>
  <c r="H63" i="7"/>
  <c r="I63" i="7" s="1"/>
  <c r="H79" i="7"/>
  <c r="I79" i="7" s="1"/>
  <c r="H87" i="7"/>
  <c r="I87" i="7" s="1"/>
  <c r="H167" i="7"/>
  <c r="I167" i="7" s="1"/>
  <c r="H176" i="7"/>
  <c r="I176" i="7" s="1"/>
  <c r="H184" i="7"/>
  <c r="I184" i="7" s="1"/>
  <c r="H9" i="7"/>
  <c r="I9" i="7" s="1"/>
  <c r="H51" i="7"/>
  <c r="I51" i="7" s="1"/>
  <c r="H56" i="7"/>
  <c r="I56" i="7" s="1"/>
  <c r="H68" i="7"/>
  <c r="I68" i="7" s="1"/>
  <c r="H84" i="7"/>
  <c r="I84" i="7" s="1"/>
  <c r="H104" i="7"/>
  <c r="I104" i="7" s="1"/>
  <c r="H112" i="7"/>
  <c r="I112" i="7" s="1"/>
  <c r="H120" i="7"/>
  <c r="I120" i="7" s="1"/>
  <c r="H131" i="7"/>
  <c r="I131" i="7" s="1"/>
  <c r="H144" i="7"/>
  <c r="I144" i="7" s="1"/>
  <c r="H31" i="7"/>
  <c r="I31" i="7" s="1"/>
  <c r="H65" i="7"/>
  <c r="I65" i="7" s="1"/>
  <c r="H101" i="7"/>
  <c r="I101" i="7" s="1"/>
  <c r="H5" i="7"/>
  <c r="I5" i="7" s="1"/>
  <c r="H8" i="7"/>
  <c r="I8" i="7" s="1"/>
  <c r="H64" i="7"/>
  <c r="I64" i="7" s="1"/>
  <c r="H108" i="7"/>
  <c r="I108" i="7" s="1"/>
  <c r="H177" i="7"/>
  <c r="I177" i="7" s="1"/>
  <c r="H180" i="7"/>
  <c r="I180" i="7" s="1"/>
  <c r="H185" i="7"/>
  <c r="I185" i="7" s="1"/>
  <c r="H10" i="7"/>
  <c r="I10" i="7" s="1"/>
  <c r="H57" i="7"/>
  <c r="I57" i="7" s="1"/>
  <c r="H69" i="7"/>
  <c r="I69" i="7" s="1"/>
  <c r="H77" i="7"/>
  <c r="I77" i="7" s="1"/>
  <c r="H85" i="7"/>
  <c r="I85" i="7" s="1"/>
  <c r="H113" i="7"/>
  <c r="I113" i="7" s="1"/>
  <c r="H121" i="7"/>
  <c r="I121" i="7" s="1"/>
  <c r="H153" i="7"/>
  <c r="I153" i="7" s="1"/>
  <c r="H171" i="7"/>
  <c r="I171" i="7" s="1"/>
  <c r="H169" i="7"/>
  <c r="I169" i="7" s="1"/>
  <c r="H152" i="7"/>
  <c r="I152" i="7" s="1"/>
  <c r="H148" i="7"/>
  <c r="I148" i="7" s="1"/>
  <c r="H76" i="7"/>
  <c r="I76" i="7" s="1"/>
  <c r="H26" i="7"/>
  <c r="I26" i="7" s="1"/>
  <c r="H23" i="7"/>
  <c r="I23" i="7" s="1"/>
  <c r="H7" i="7"/>
  <c r="I7" i="7" s="1"/>
  <c r="H178" i="7"/>
  <c r="I178" i="7" s="1"/>
  <c r="H129" i="7"/>
  <c r="I129" i="7" s="1"/>
  <c r="H37" i="7"/>
  <c r="I37" i="7" s="1"/>
  <c r="H20" i="7"/>
  <c r="I20" i="7" s="1"/>
  <c r="H16" i="7"/>
  <c r="I16" i="7" s="1"/>
  <c r="H13" i="7"/>
  <c r="I13" i="7" s="1"/>
  <c r="H6" i="7"/>
  <c r="I6" i="7" s="1"/>
  <c r="H25" i="7"/>
  <c r="I25" i="7" s="1"/>
  <c r="H33" i="7"/>
  <c r="I33" i="7" s="1"/>
  <c r="H42" i="7"/>
  <c r="I42" i="7" s="1"/>
  <c r="H50" i="7"/>
  <c r="I50" i="7" s="1"/>
  <c r="H59" i="7"/>
  <c r="I59" i="7" s="1"/>
  <c r="H100" i="7"/>
  <c r="I100" i="7" s="1"/>
  <c r="H106" i="7"/>
  <c r="I106" i="7" s="1"/>
  <c r="H111" i="7"/>
  <c r="I111" i="7" s="1"/>
  <c r="H151" i="7"/>
  <c r="I151" i="7" s="1"/>
  <c r="H154" i="7"/>
  <c r="I154" i="7" s="1"/>
  <c r="H159" i="7"/>
  <c r="I159" i="7" s="1"/>
  <c r="H162" i="7"/>
  <c r="I162" i="7" s="1"/>
  <c r="H172" i="7"/>
  <c r="I172" i="7" s="1"/>
  <c r="H186" i="7"/>
  <c r="I186" i="7" s="1"/>
  <c r="H17" i="7"/>
  <c r="I17" i="7" s="1"/>
  <c r="H27" i="7"/>
  <c r="I27" i="7" s="1"/>
  <c r="H55" i="7"/>
  <c r="I55" i="7" s="1"/>
  <c r="H71" i="7"/>
  <c r="I71" i="7" s="1"/>
  <c r="H139" i="7"/>
  <c r="I139" i="7" s="1"/>
  <c r="H164" i="7"/>
  <c r="I164" i="7" s="1"/>
  <c r="H22" i="7"/>
  <c r="I22" i="7" s="1"/>
  <c r="H62" i="7"/>
  <c r="I62" i="7" s="1"/>
  <c r="H110" i="7"/>
  <c r="I110" i="7" s="1"/>
  <c r="H132" i="7"/>
  <c r="I132" i="7" s="1"/>
  <c r="H141" i="7"/>
  <c r="I141" i="7" s="1"/>
  <c r="H150" i="7"/>
  <c r="I150" i="7" s="1"/>
  <c r="H95" i="7"/>
  <c r="I95" i="7" s="1"/>
  <c r="H81" i="7"/>
  <c r="I81" i="7" s="1"/>
  <c r="H91" i="7"/>
  <c r="I91" i="7" s="1"/>
  <c r="H107" i="7"/>
  <c r="I107" i="7" s="1"/>
  <c r="H115" i="7"/>
  <c r="I115" i="7" s="1"/>
  <c r="H147" i="7"/>
  <c r="I147" i="7" s="1"/>
  <c r="H15" i="7"/>
  <c r="I15" i="7" s="1"/>
  <c r="H18" i="7"/>
  <c r="I18" i="7" s="1"/>
  <c r="H21" i="7"/>
  <c r="I21" i="7" s="1"/>
  <c r="H48" i="7"/>
  <c r="I48" i="7" s="1"/>
  <c r="H86" i="7"/>
  <c r="I86" i="7" s="1"/>
  <c r="H97" i="7"/>
  <c r="I97" i="7" s="1"/>
  <c r="H123" i="7"/>
  <c r="I123" i="7" s="1"/>
  <c r="H128" i="7"/>
  <c r="I128" i="7" s="1"/>
  <c r="H170" i="7"/>
  <c r="I170" i="7" s="1"/>
  <c r="H70" i="7"/>
  <c r="I70" i="7" s="1"/>
  <c r="H12" i="7"/>
  <c r="I12" i="7" s="1"/>
  <c r="H35" i="7"/>
  <c r="I35" i="7" s="1"/>
  <c r="H105" i="7"/>
  <c r="I105" i="7" s="1"/>
  <c r="H118" i="7"/>
  <c r="I118" i="7" s="1"/>
  <c r="H133" i="7"/>
  <c r="I133" i="7" s="1"/>
  <c r="H149" i="7"/>
  <c r="I149" i="7" s="1"/>
  <c r="H155" i="7"/>
  <c r="I155" i="7" s="1"/>
  <c r="H158" i="7"/>
  <c r="I158" i="7" s="1"/>
  <c r="H45" i="7"/>
  <c r="I45" i="7" s="1"/>
  <c r="H83" i="7"/>
  <c r="I83" i="7" s="1"/>
  <c r="H88" i="7"/>
  <c r="I88" i="7" s="1"/>
  <c r="H137" i="7"/>
  <c r="I137" i="7" s="1"/>
  <c r="H157" i="7"/>
  <c r="I157" i="7" s="1"/>
  <c r="H14" i="7"/>
  <c r="I14" i="7" s="1"/>
  <c r="H40" i="7"/>
  <c r="I40" i="7" s="1"/>
  <c r="H47" i="7"/>
  <c r="I47" i="7" s="1"/>
  <c r="H117" i="7"/>
  <c r="I117" i="7" s="1"/>
  <c r="H125" i="7"/>
  <c r="I125" i="7" s="1"/>
  <c r="H140" i="7"/>
  <c r="I140" i="7" s="1"/>
  <c r="H145" i="7"/>
  <c r="I145" i="7" s="1"/>
  <c r="H166" i="7"/>
  <c r="I166" i="7" s="1"/>
  <c r="H173" i="7"/>
  <c r="I173" i="7" s="1"/>
  <c r="H181" i="7"/>
  <c r="I181" i="7" s="1"/>
  <c r="H80" i="7"/>
  <c r="I80" i="7" s="1"/>
  <c r="H96" i="7"/>
  <c r="I96" i="7" s="1"/>
  <c r="H183" i="7"/>
  <c r="I183" i="7" s="1"/>
  <c r="H36" i="7"/>
  <c r="I36" i="7" s="1"/>
  <c r="H49" i="7"/>
  <c r="I49" i="7" s="1"/>
  <c r="H53" i="7"/>
  <c r="I53" i="7" s="1"/>
  <c r="H75" i="7"/>
  <c r="I75" i="7" s="1"/>
  <c r="H82" i="7"/>
  <c r="I82" i="7" s="1"/>
  <c r="H102" i="7"/>
  <c r="I102" i="7" s="1"/>
  <c r="H109" i="7"/>
  <c r="I109" i="7" s="1"/>
  <c r="H135" i="7"/>
  <c r="I135" i="7" s="1"/>
  <c r="H156" i="7"/>
  <c r="I156" i="7" s="1"/>
  <c r="H161" i="7"/>
  <c r="I161" i="7" s="1"/>
  <c r="H116" i="7"/>
  <c r="I116" i="7" s="1"/>
  <c r="H124" i="7"/>
  <c r="I124" i="7" s="1"/>
  <c r="H127" i="7"/>
  <c r="I127" i="7" s="1"/>
  <c r="H28" i="7"/>
  <c r="I28" i="7" s="1"/>
  <c r="H99" i="7"/>
  <c r="I99" i="7" s="1"/>
  <c r="H119" i="7"/>
  <c r="I119" i="7" s="1"/>
  <c r="H134" i="7"/>
  <c r="I134" i="7" s="1"/>
  <c r="H142" i="7"/>
  <c r="I142" i="7" s="1"/>
  <c r="H174" i="7"/>
  <c r="I174" i="7" s="1"/>
  <c r="H182" i="7"/>
  <c r="I182" i="7" s="1"/>
  <c r="H44" i="7"/>
  <c r="I44" i="7" s="1"/>
  <c r="H19" i="7"/>
  <c r="I19" i="7" s="1"/>
  <c r="H46" i="7"/>
  <c r="I46" i="7" s="1"/>
  <c r="H52" i="7"/>
  <c r="I52" i="7" s="1"/>
  <c r="H11" i="7"/>
  <c r="I11" i="7" s="1"/>
  <c r="H29" i="7"/>
  <c r="I29" i="7" s="1"/>
  <c r="H30" i="7"/>
  <c r="I30" i="7" s="1"/>
  <c r="H38" i="7"/>
  <c r="I38" i="7" s="1"/>
  <c r="H61" i="7"/>
  <c r="I61" i="7" s="1"/>
  <c r="H73" i="7"/>
  <c r="I73" i="7" s="1"/>
  <c r="H74" i="7"/>
  <c r="I74" i="7" s="1"/>
  <c r="C89" i="13"/>
  <c r="I82" i="13"/>
  <c r="H82" i="13"/>
  <c r="G82" i="13"/>
  <c r="F82" i="13"/>
  <c r="E82" i="13"/>
  <c r="D82" i="13"/>
  <c r="C82" i="13"/>
  <c r="O19" i="13" l="1"/>
  <c r="O9" i="13"/>
  <c r="O5" i="13"/>
  <c r="L4" i="7" l="1"/>
  <c r="K4" i="7"/>
  <c r="E4" i="7"/>
  <c r="F4" i="7"/>
  <c r="D4" i="7"/>
  <c r="M4" i="7" l="1"/>
  <c r="N4" i="7" s="1"/>
  <c r="P4" i="7" s="1"/>
  <c r="G4" i="7"/>
  <c r="J32" i="13" l="1"/>
  <c r="AE4" i="7"/>
  <c r="Z4" i="7"/>
  <c r="AI46" i="13" l="1"/>
  <c r="AI38" i="13"/>
  <c r="AI37" i="13"/>
  <c r="AI25" i="13"/>
  <c r="AI26" i="13"/>
  <c r="AI27" i="13"/>
  <c r="AI28" i="13"/>
  <c r="AI29" i="13"/>
  <c r="AI30" i="13"/>
  <c r="AI31" i="13"/>
  <c r="AI24" i="13"/>
  <c r="AI5" i="13"/>
  <c r="AI6" i="13"/>
  <c r="AI7" i="13"/>
  <c r="AI8" i="13"/>
  <c r="AI9" i="13"/>
  <c r="AI10" i="13"/>
  <c r="AI11" i="13"/>
  <c r="AI12" i="13"/>
  <c r="AI13" i="13"/>
  <c r="AI14" i="13"/>
  <c r="AI15" i="13"/>
  <c r="AI16" i="13"/>
  <c r="AI17" i="13"/>
  <c r="AI18" i="13"/>
  <c r="AI4" i="13"/>
  <c r="AD39" i="13"/>
  <c r="L46" i="13"/>
  <c r="K46" i="13"/>
  <c r="L38" i="13"/>
  <c r="K38" i="13"/>
  <c r="L37" i="13"/>
  <c r="K37" i="13"/>
  <c r="K25" i="13"/>
  <c r="L25" i="13"/>
  <c r="K26" i="13"/>
  <c r="L26" i="13"/>
  <c r="K27" i="13"/>
  <c r="L27" i="13"/>
  <c r="K28" i="13"/>
  <c r="L28" i="13"/>
  <c r="K29" i="13"/>
  <c r="L29" i="13"/>
  <c r="K30" i="13"/>
  <c r="L30" i="13"/>
  <c r="K31" i="13"/>
  <c r="L31" i="13"/>
  <c r="L24" i="13"/>
  <c r="K24" i="13"/>
  <c r="K5" i="13"/>
  <c r="L5" i="13"/>
  <c r="K6" i="13"/>
  <c r="L6" i="13"/>
  <c r="K7" i="13"/>
  <c r="L7" i="13"/>
  <c r="K8" i="13"/>
  <c r="L8" i="13"/>
  <c r="K9" i="13"/>
  <c r="L9" i="13"/>
  <c r="K10" i="13"/>
  <c r="L10" i="13"/>
  <c r="K11" i="13"/>
  <c r="L11" i="13"/>
  <c r="K12" i="13"/>
  <c r="L12" i="13"/>
  <c r="K13" i="13"/>
  <c r="L13" i="13"/>
  <c r="K14" i="13"/>
  <c r="L14" i="13"/>
  <c r="K15" i="13"/>
  <c r="L15" i="13"/>
  <c r="K16" i="13"/>
  <c r="L16" i="13"/>
  <c r="K17" i="13"/>
  <c r="L17" i="13"/>
  <c r="K18" i="13"/>
  <c r="L18" i="13"/>
  <c r="K19" i="13"/>
  <c r="L19" i="13"/>
  <c r="K20" i="13"/>
  <c r="L20" i="13"/>
  <c r="L4" i="13"/>
  <c r="K4" i="13"/>
  <c r="F46" i="13"/>
  <c r="E46" i="13"/>
  <c r="D46" i="13"/>
  <c r="F42" i="13"/>
  <c r="E42" i="13"/>
  <c r="D42" i="13"/>
  <c r="F38" i="13"/>
  <c r="E38" i="13"/>
  <c r="D38" i="13"/>
  <c r="F37" i="13"/>
  <c r="E37" i="13"/>
  <c r="D37" i="13"/>
  <c r="D25" i="13"/>
  <c r="E25" i="13"/>
  <c r="F25" i="13"/>
  <c r="D26" i="13"/>
  <c r="E26" i="13"/>
  <c r="F26" i="13"/>
  <c r="D27" i="13"/>
  <c r="E27" i="13"/>
  <c r="F27" i="13"/>
  <c r="D28" i="13"/>
  <c r="E28" i="13"/>
  <c r="F28" i="13"/>
  <c r="D29" i="13"/>
  <c r="E29" i="13"/>
  <c r="F29" i="13"/>
  <c r="D30" i="13"/>
  <c r="E30" i="13"/>
  <c r="F30" i="13"/>
  <c r="D31" i="13"/>
  <c r="E31" i="13"/>
  <c r="F31" i="13"/>
  <c r="F24" i="13"/>
  <c r="E24" i="13"/>
  <c r="D24" i="13"/>
  <c r="D5" i="13"/>
  <c r="E5" i="13"/>
  <c r="F5" i="13"/>
  <c r="D6" i="13"/>
  <c r="E6" i="13"/>
  <c r="F6" i="13"/>
  <c r="D7" i="13"/>
  <c r="E7" i="13"/>
  <c r="F7" i="13"/>
  <c r="D8" i="13"/>
  <c r="E8" i="13"/>
  <c r="F8" i="13"/>
  <c r="D9" i="13"/>
  <c r="E9" i="13"/>
  <c r="F9" i="13"/>
  <c r="D10" i="13"/>
  <c r="E10" i="13"/>
  <c r="F10" i="13"/>
  <c r="D11" i="13"/>
  <c r="E11" i="13"/>
  <c r="F11" i="13"/>
  <c r="D12" i="13"/>
  <c r="E12" i="13"/>
  <c r="F12" i="13"/>
  <c r="D13" i="13"/>
  <c r="E13" i="13"/>
  <c r="F13" i="13"/>
  <c r="D14" i="13"/>
  <c r="E14" i="13"/>
  <c r="F14" i="13"/>
  <c r="D15" i="13"/>
  <c r="E15" i="13"/>
  <c r="F15" i="13"/>
  <c r="D16" i="13"/>
  <c r="E16" i="13"/>
  <c r="F16" i="13"/>
  <c r="D17" i="13"/>
  <c r="E17" i="13"/>
  <c r="F17" i="13"/>
  <c r="D18" i="13"/>
  <c r="E18" i="13"/>
  <c r="F18" i="13"/>
  <c r="E19" i="13"/>
  <c r="F19" i="13"/>
  <c r="E20" i="13"/>
  <c r="F20" i="13"/>
  <c r="E4" i="13"/>
  <c r="F4" i="13"/>
  <c r="D4" i="13"/>
  <c r="AD4" i="13" l="1"/>
  <c r="AC12" i="13"/>
  <c r="AD12" i="13" s="1"/>
  <c r="AC8" i="13"/>
  <c r="AD8" i="13" s="1"/>
  <c r="O27" i="13"/>
  <c r="AC27" i="13" s="1"/>
  <c r="AD27" i="13" s="1"/>
  <c r="AC20" i="13" l="1"/>
  <c r="AC19" i="13"/>
  <c r="AC38" i="13"/>
  <c r="AD38" i="13" s="1"/>
  <c r="AC37" i="13"/>
  <c r="AD37" i="13" s="1"/>
  <c r="AC51" i="13" l="1"/>
  <c r="AD19" i="13"/>
  <c r="AD20" i="13"/>
  <c r="N19" i="13"/>
  <c r="N20" i="13"/>
  <c r="D20" i="13" l="1"/>
  <c r="AI20" i="13"/>
  <c r="D19" i="13"/>
  <c r="AI19" i="13"/>
  <c r="AC5" i="13"/>
  <c r="AD5" i="13" s="1"/>
  <c r="O28" i="13" l="1"/>
  <c r="AC28" i="13" s="1"/>
  <c r="AD28" i="13" s="1"/>
  <c r="D63" i="13" l="1"/>
  <c r="D64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Q67" i="13" l="1"/>
  <c r="Q68" i="13"/>
  <c r="AB22" i="13"/>
  <c r="AA22" i="13"/>
  <c r="AA48" i="13" s="1"/>
  <c r="AA50" i="13" s="1"/>
  <c r="AB48" i="13" l="1"/>
  <c r="AB50" i="13" s="1"/>
  <c r="T7" i="13" l="1"/>
  <c r="O31" i="13" l="1"/>
  <c r="AC31" i="13" s="1"/>
  <c r="AD31" i="13" s="1"/>
  <c r="R22" i="13"/>
  <c r="R26" i="7" l="1"/>
  <c r="S26" i="7" l="1"/>
  <c r="M37" i="13" l="1"/>
  <c r="AD21" i="13"/>
  <c r="AD23" i="13"/>
  <c r="AD32" i="13"/>
  <c r="AD33" i="13"/>
  <c r="AD34" i="13"/>
  <c r="AD35" i="13"/>
  <c r="AD36" i="13"/>
  <c r="AD40" i="13"/>
  <c r="AD41" i="13"/>
  <c r="AD43" i="13"/>
  <c r="AD44" i="13"/>
  <c r="AD45" i="13"/>
  <c r="M46" i="13"/>
  <c r="AE48" i="13"/>
  <c r="AG48" i="13"/>
  <c r="AG50" i="13" s="1"/>
  <c r="AH48" i="13"/>
  <c r="AH50" i="13" s="1"/>
  <c r="AI21" i="13"/>
  <c r="AI22" i="13"/>
  <c r="AI23" i="13"/>
  <c r="AI32" i="13"/>
  <c r="AI33" i="13"/>
  <c r="AI34" i="13"/>
  <c r="AI35" i="13"/>
  <c r="AI36" i="13"/>
  <c r="AI39" i="13"/>
  <c r="AI40" i="13"/>
  <c r="AI41" i="13"/>
  <c r="AI42" i="13"/>
  <c r="AI43" i="13"/>
  <c r="AI44" i="13"/>
  <c r="AI45" i="13"/>
  <c r="AF48" i="13" l="1"/>
  <c r="AF50" i="13" s="1"/>
  <c r="AI48" i="13" l="1"/>
  <c r="AI50" i="13" s="1"/>
  <c r="M28" i="13" l="1"/>
  <c r="G28" i="13"/>
  <c r="N28" i="13" l="1"/>
  <c r="P28" i="13" s="1"/>
  <c r="H28" i="13" l="1"/>
  <c r="Q28" i="13" s="1"/>
  <c r="G19" i="13"/>
  <c r="I28" i="13" l="1"/>
  <c r="S6" i="7" l="1"/>
  <c r="E63" i="13"/>
  <c r="F63" i="13"/>
  <c r="J188" i="7"/>
  <c r="O188" i="7"/>
  <c r="Q188" i="7"/>
  <c r="S97" i="7" l="1"/>
  <c r="S155" i="7"/>
  <c r="S164" i="7" l="1"/>
  <c r="S122" i="7" l="1"/>
  <c r="F188" i="7" l="1"/>
  <c r="E188" i="7"/>
  <c r="L188" i="7"/>
  <c r="D188" i="7"/>
  <c r="AE188" i="7"/>
  <c r="AC188" i="7"/>
  <c r="AC191" i="7" s="1"/>
  <c r="AD188" i="7"/>
  <c r="AD191" i="7" s="1"/>
  <c r="AB188" i="7"/>
  <c r="AB191" i="7" s="1"/>
  <c r="Y188" i="7"/>
  <c r="Y191" i="7" s="1"/>
  <c r="X188" i="7"/>
  <c r="X191" i="7" s="1"/>
  <c r="K188" i="7" l="1"/>
  <c r="Z188" i="7"/>
  <c r="E22" i="13" l="1"/>
  <c r="E88" i="13" s="1"/>
  <c r="F22" i="13"/>
  <c r="F88" i="13" s="1"/>
  <c r="J22" i="13"/>
  <c r="L22" i="13"/>
  <c r="G20" i="13"/>
  <c r="D22" i="13" l="1"/>
  <c r="D88" i="13" s="1"/>
  <c r="V4" i="13"/>
  <c r="V8" i="13"/>
  <c r="V12" i="13" l="1"/>
  <c r="G46" i="13" l="1"/>
  <c r="G38" i="13"/>
  <c r="G37" i="13"/>
  <c r="G31" i="13"/>
  <c r="G30" i="13"/>
  <c r="G29" i="13"/>
  <c r="G27" i="13"/>
  <c r="G26" i="13"/>
  <c r="G25" i="13"/>
  <c r="G2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4" i="13"/>
  <c r="D39" i="13"/>
  <c r="G22" i="13" l="1"/>
  <c r="C88" i="13" s="1"/>
  <c r="R69" i="13"/>
  <c r="R65" i="13"/>
  <c r="G188" i="7" l="1"/>
  <c r="M42" i="13"/>
  <c r="M38" i="13"/>
  <c r="M25" i="13"/>
  <c r="M26" i="13"/>
  <c r="M27" i="13"/>
  <c r="M29" i="13"/>
  <c r="M30" i="13"/>
  <c r="M31" i="13"/>
  <c r="N31" i="13" s="1"/>
  <c r="P31" i="13" s="1"/>
  <c r="M2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N18" i="13" s="1"/>
  <c r="M4" i="13"/>
  <c r="M32" i="13" l="1"/>
  <c r="N4" i="13"/>
  <c r="O46" i="13" l="1"/>
  <c r="AC46" i="13" s="1"/>
  <c r="AD46" i="13" s="1"/>
  <c r="O42" i="13"/>
  <c r="AC42" i="13" s="1"/>
  <c r="AD42" i="13" s="1"/>
  <c r="X42" i="13" l="1"/>
  <c r="V42" i="13"/>
  <c r="X46" i="13"/>
  <c r="V46" i="13"/>
  <c r="X8" i="13"/>
  <c r="V37" i="13"/>
  <c r="X37" i="13"/>
  <c r="X38" i="13"/>
  <c r="V38" i="13"/>
  <c r="X4" i="13"/>
  <c r="X12" i="13"/>
  <c r="H64" i="13"/>
  <c r="G63" i="13"/>
  <c r="H63" i="13"/>
  <c r="I63" i="13"/>
  <c r="J63" i="13"/>
  <c r="M63" i="13"/>
  <c r="N63" i="13"/>
  <c r="O63" i="13"/>
  <c r="P63" i="13"/>
  <c r="E64" i="13"/>
  <c r="F64" i="13"/>
  <c r="I64" i="13"/>
  <c r="J64" i="13"/>
  <c r="L64" i="13"/>
  <c r="M64" i="13"/>
  <c r="N64" i="13"/>
  <c r="O64" i="13"/>
  <c r="G64" i="13"/>
  <c r="Q63" i="13" l="1"/>
  <c r="Q64" i="13"/>
  <c r="P64" i="13"/>
  <c r="E69" i="13"/>
  <c r="E65" i="13"/>
  <c r="E76" i="13" s="1"/>
  <c r="E190" i="7" l="1"/>
  <c r="E59" i="13" s="1"/>
  <c r="E39" i="13"/>
  <c r="E44" i="13" s="1"/>
  <c r="E32" i="13"/>
  <c r="E90" i="13"/>
  <c r="E91" i="13" s="1"/>
  <c r="E48" i="13" l="1"/>
  <c r="E81" i="13" s="1"/>
  <c r="E34" i="13"/>
  <c r="E191" i="7" l="1"/>
  <c r="E192" i="7" s="1"/>
  <c r="E61" i="13" s="1"/>
  <c r="E75" i="13" s="1"/>
  <c r="E83" i="13"/>
  <c r="E84" i="13" s="1"/>
  <c r="E77" i="13" l="1"/>
  <c r="E78" i="13" s="1"/>
  <c r="E60" i="13"/>
  <c r="L63" i="13" l="1"/>
  <c r="K64" i="13"/>
  <c r="K63" i="13"/>
  <c r="F65" i="13" l="1"/>
  <c r="F76" i="13" s="1"/>
  <c r="L32" i="13" l="1"/>
  <c r="L190" i="7" l="1"/>
  <c r="L59" i="13" s="1"/>
  <c r="K65" i="13"/>
  <c r="L65" i="13"/>
  <c r="K69" i="13"/>
  <c r="L69" i="13"/>
  <c r="D190" i="7"/>
  <c r="D59" i="13" s="1"/>
  <c r="F190" i="7"/>
  <c r="F59" i="13" s="1"/>
  <c r="D65" i="13"/>
  <c r="D76" i="13" s="1"/>
  <c r="F69" i="13"/>
  <c r="K39" i="13"/>
  <c r="K44" i="13" s="1"/>
  <c r="L39" i="13"/>
  <c r="L44" i="13" s="1"/>
  <c r="D44" i="13"/>
  <c r="F39" i="13"/>
  <c r="F44" i="13" s="1"/>
  <c r="F32" i="13"/>
  <c r="F90" i="13"/>
  <c r="F91" i="13" s="1"/>
  <c r="D69" i="13" l="1"/>
  <c r="F34" i="13"/>
  <c r="F48" i="13"/>
  <c r="L48" i="13"/>
  <c r="L34" i="13"/>
  <c r="F81" i="13" l="1"/>
  <c r="F83" i="13" s="1"/>
  <c r="F84" i="13" s="1"/>
  <c r="F191" i="7"/>
  <c r="F51" i="13"/>
  <c r="L191" i="7"/>
  <c r="L51" i="13"/>
  <c r="K32" i="13"/>
  <c r="F192" i="7" l="1"/>
  <c r="K54" i="13" s="1"/>
  <c r="F60" i="13"/>
  <c r="L192" i="7"/>
  <c r="K53" i="13" s="1"/>
  <c r="L60" i="13"/>
  <c r="F61" i="13" l="1"/>
  <c r="L61" i="13"/>
  <c r="F75" i="13" l="1"/>
  <c r="F77" i="13" s="1"/>
  <c r="F78" i="13" s="1"/>
  <c r="K55" i="13"/>
  <c r="D46" i="9"/>
  <c r="T31" i="13"/>
  <c r="S31" i="13"/>
  <c r="D90" i="13"/>
  <c r="D91" i="13" s="1"/>
  <c r="D32" i="13" l="1"/>
  <c r="D48" i="13" s="1"/>
  <c r="D81" i="13" l="1"/>
  <c r="D83" i="13" s="1"/>
  <c r="D84" i="13" s="1"/>
  <c r="D34" i="13"/>
  <c r="D191" i="7"/>
  <c r="D60" i="13" s="1"/>
  <c r="D51" i="13"/>
  <c r="S4" i="13"/>
  <c r="T4" i="13"/>
  <c r="T5" i="13"/>
  <c r="T6" i="13"/>
  <c r="T9" i="13"/>
  <c r="T10" i="13"/>
  <c r="T11" i="13"/>
  <c r="T13" i="13"/>
  <c r="T14" i="13"/>
  <c r="T15" i="13"/>
  <c r="T16" i="13"/>
  <c r="S17" i="13"/>
  <c r="T17" i="13"/>
  <c r="T18" i="13"/>
  <c r="S32" i="13"/>
  <c r="T32" i="13"/>
  <c r="S37" i="13"/>
  <c r="S39" i="13" s="1"/>
  <c r="S44" i="13" s="1"/>
  <c r="T37" i="13"/>
  <c r="T38" i="13"/>
  <c r="D192" i="7" l="1"/>
  <c r="S22" i="13"/>
  <c r="S34" i="13" s="1"/>
  <c r="T39" i="13"/>
  <c r="T44" i="13" s="1"/>
  <c r="T22" i="13"/>
  <c r="T34" i="13" s="1"/>
  <c r="D44" i="9"/>
  <c r="D61" i="13" l="1"/>
  <c r="S48" i="13"/>
  <c r="T48" i="13"/>
  <c r="D75" i="13" l="1"/>
  <c r="D77" i="13" s="1"/>
  <c r="D78" i="13" s="1"/>
  <c r="J69" i="13"/>
  <c r="M69" i="13"/>
  <c r="N69" i="13"/>
  <c r="O69" i="13"/>
  <c r="G69" i="13" l="1"/>
  <c r="I69" i="13"/>
  <c r="S201" i="7"/>
  <c r="H69" i="13"/>
  <c r="Q69" i="13" l="1"/>
  <c r="E51" i="13"/>
  <c r="D42" i="9" l="1"/>
  <c r="X31" i="13" l="1"/>
  <c r="V31" i="13"/>
  <c r="H31" i="13"/>
  <c r="Q31" i="13" s="1"/>
  <c r="Y31" i="13" l="1"/>
  <c r="W31" i="13"/>
  <c r="I31" i="13"/>
  <c r="D40" i="9" l="1"/>
  <c r="O6" i="13" l="1"/>
  <c r="AC6" i="13" s="1"/>
  <c r="O7" i="13"/>
  <c r="AC7" i="13" s="1"/>
  <c r="AD7" i="13" s="1"/>
  <c r="AC9" i="13"/>
  <c r="AD9" i="13" s="1"/>
  <c r="O10" i="13"/>
  <c r="AC10" i="13" s="1"/>
  <c r="AD10" i="13" s="1"/>
  <c r="O11" i="13"/>
  <c r="AC11" i="13" s="1"/>
  <c r="AD11" i="13" s="1"/>
  <c r="O13" i="13"/>
  <c r="AC13" i="13" s="1"/>
  <c r="AD13" i="13" s="1"/>
  <c r="O14" i="13"/>
  <c r="AC14" i="13" s="1"/>
  <c r="AD14" i="13" s="1"/>
  <c r="N37" i="13"/>
  <c r="P37" i="13" s="1"/>
  <c r="H37" i="13" s="1"/>
  <c r="Q37" i="13" s="1"/>
  <c r="N38" i="13"/>
  <c r="P38" i="13" s="1"/>
  <c r="H38" i="13" s="1"/>
  <c r="Q38" i="13" s="1"/>
  <c r="N46" i="13"/>
  <c r="O16" i="13"/>
  <c r="AC16" i="13" s="1"/>
  <c r="AD16" i="13" s="1"/>
  <c r="O15" i="13"/>
  <c r="AC15" i="13" s="1"/>
  <c r="AD15" i="13" s="1"/>
  <c r="D38" i="9"/>
  <c r="D36" i="9"/>
  <c r="D34" i="9"/>
  <c r="D32" i="9"/>
  <c r="D30" i="9"/>
  <c r="G190" i="7"/>
  <c r="G59" i="13" s="1"/>
  <c r="N17" i="13"/>
  <c r="N12" i="13"/>
  <c r="N8" i="13"/>
  <c r="G32" i="13"/>
  <c r="R200" i="7"/>
  <c r="J65" i="13"/>
  <c r="M65" i="13"/>
  <c r="G76" i="13" s="1"/>
  <c r="G65" i="13"/>
  <c r="C76" i="13" s="1"/>
  <c r="R32" i="13"/>
  <c r="O17" i="13"/>
  <c r="AC17" i="13" s="1"/>
  <c r="AD17" i="13" s="1"/>
  <c r="O18" i="13"/>
  <c r="AC18" i="13" s="1"/>
  <c r="AD18" i="13" s="1"/>
  <c r="P4" i="13"/>
  <c r="N6" i="13"/>
  <c r="N7" i="13"/>
  <c r="N9" i="13"/>
  <c r="N10" i="13"/>
  <c r="N11" i="13"/>
  <c r="N13" i="13"/>
  <c r="N14" i="13"/>
  <c r="N15" i="13"/>
  <c r="N16" i="13"/>
  <c r="N24" i="13"/>
  <c r="O24" i="13"/>
  <c r="AC24" i="13" s="1"/>
  <c r="AD24" i="13" s="1"/>
  <c r="N27" i="13"/>
  <c r="N29" i="13"/>
  <c r="O29" i="13"/>
  <c r="AC29" i="13" s="1"/>
  <c r="AD29" i="13" s="1"/>
  <c r="N30" i="13"/>
  <c r="O30" i="13"/>
  <c r="AC30" i="13" s="1"/>
  <c r="AD30" i="13" s="1"/>
  <c r="G39" i="13"/>
  <c r="G44" i="13" s="1"/>
  <c r="M39" i="13"/>
  <c r="R39" i="13"/>
  <c r="O26" i="13"/>
  <c r="AC26" i="13" s="1"/>
  <c r="AD26" i="13" s="1"/>
  <c r="N26" i="13"/>
  <c r="O25" i="13"/>
  <c r="AC25" i="13" s="1"/>
  <c r="AD25" i="13" s="1"/>
  <c r="N25" i="13"/>
  <c r="O190" i="7"/>
  <c r="O59" i="13" s="1"/>
  <c r="D6" i="9"/>
  <c r="E6" i="9" s="1"/>
  <c r="D8" i="9"/>
  <c r="D10" i="9"/>
  <c r="D12" i="9"/>
  <c r="D14" i="9"/>
  <c r="D16" i="9"/>
  <c r="D18" i="9"/>
  <c r="D20" i="9"/>
  <c r="D22" i="9"/>
  <c r="D24" i="9"/>
  <c r="D26" i="9"/>
  <c r="D28" i="9"/>
  <c r="O39" i="13"/>
  <c r="AD6" i="13" l="1"/>
  <c r="AD22" i="13" s="1"/>
  <c r="AD48" i="13" s="1"/>
  <c r="AD50" i="13" s="1"/>
  <c r="AC22" i="13"/>
  <c r="V15" i="13"/>
  <c r="V10" i="13"/>
  <c r="V18" i="13"/>
  <c r="V16" i="13"/>
  <c r="V14" i="13"/>
  <c r="V9" i="13"/>
  <c r="V17" i="13"/>
  <c r="V13" i="13"/>
  <c r="V7" i="13"/>
  <c r="V11" i="13"/>
  <c r="V6" i="13"/>
  <c r="O22" i="13"/>
  <c r="H88" i="13" s="1"/>
  <c r="R48" i="13"/>
  <c r="R60" i="13" s="1"/>
  <c r="R61" i="13" s="1"/>
  <c r="N32" i="13"/>
  <c r="O32" i="13"/>
  <c r="V5" i="13"/>
  <c r="R44" i="13"/>
  <c r="X27" i="13"/>
  <c r="V27" i="13"/>
  <c r="X26" i="13"/>
  <c r="V26" i="13"/>
  <c r="X30" i="13"/>
  <c r="V30" i="13"/>
  <c r="X25" i="13"/>
  <c r="V25" i="13"/>
  <c r="V29" i="13"/>
  <c r="X29" i="13"/>
  <c r="Y37" i="13"/>
  <c r="W37" i="13"/>
  <c r="Y38" i="13"/>
  <c r="W38" i="13"/>
  <c r="O44" i="13"/>
  <c r="V39" i="13"/>
  <c r="X39" i="13"/>
  <c r="V24" i="13"/>
  <c r="X24" i="13"/>
  <c r="X18" i="13"/>
  <c r="X17" i="13"/>
  <c r="X16" i="13"/>
  <c r="X15" i="13"/>
  <c r="X14" i="13"/>
  <c r="X13" i="13"/>
  <c r="X11" i="13"/>
  <c r="X10" i="13"/>
  <c r="X9" i="13"/>
  <c r="X7" i="13"/>
  <c r="X5" i="13"/>
  <c r="X6" i="13"/>
  <c r="O65" i="13"/>
  <c r="H76" i="13" s="1"/>
  <c r="H65" i="13"/>
  <c r="I76" i="13" s="1"/>
  <c r="R34" i="13"/>
  <c r="P26" i="13"/>
  <c r="H26" i="13" s="1"/>
  <c r="I26" i="13" s="1"/>
  <c r="P29" i="13"/>
  <c r="H29" i="13" s="1"/>
  <c r="P7" i="13"/>
  <c r="H7" i="13" s="1"/>
  <c r="P14" i="13"/>
  <c r="H14" i="13" s="1"/>
  <c r="P6" i="13"/>
  <c r="H6" i="13" s="1"/>
  <c r="P8" i="13"/>
  <c r="H8" i="13" s="1"/>
  <c r="P10" i="13"/>
  <c r="H10" i="13" s="1"/>
  <c r="P24" i="13"/>
  <c r="H24" i="13" s="1"/>
  <c r="P25" i="13"/>
  <c r="H25" i="13" s="1"/>
  <c r="N39" i="13"/>
  <c r="P30" i="13"/>
  <c r="H30" i="13" s="1"/>
  <c r="P27" i="13"/>
  <c r="P11" i="13"/>
  <c r="H11" i="13" s="1"/>
  <c r="P9" i="13"/>
  <c r="H9" i="13" s="1"/>
  <c r="N65" i="13"/>
  <c r="P46" i="13"/>
  <c r="H46" i="13" s="1"/>
  <c r="P18" i="13"/>
  <c r="H18" i="13" s="1"/>
  <c r="P17" i="13"/>
  <c r="H17" i="13" s="1"/>
  <c r="P39" i="13"/>
  <c r="I37" i="13"/>
  <c r="P15" i="13"/>
  <c r="H15" i="13" s="1"/>
  <c r="P13" i="13"/>
  <c r="I38" i="13"/>
  <c r="H39" i="13"/>
  <c r="C90" i="13"/>
  <c r="C91" i="13" s="1"/>
  <c r="N5" i="13"/>
  <c r="J39" i="13"/>
  <c r="J44" i="13" s="1"/>
  <c r="E8" i="9"/>
  <c r="E10" i="9" s="1"/>
  <c r="E12" i="9" s="1"/>
  <c r="E14" i="9" s="1"/>
  <c r="E16" i="9" s="1"/>
  <c r="E18" i="9" s="1"/>
  <c r="E20" i="9" s="1"/>
  <c r="E22" i="9" s="1"/>
  <c r="E24" i="9" s="1"/>
  <c r="E26" i="9" s="1"/>
  <c r="E28" i="9" s="1"/>
  <c r="E30" i="9" s="1"/>
  <c r="E32" i="9" s="1"/>
  <c r="E34" i="9" s="1"/>
  <c r="E36" i="9" s="1"/>
  <c r="E38" i="9" s="1"/>
  <c r="E40" i="9" s="1"/>
  <c r="E42" i="9" s="1"/>
  <c r="E44" i="9" s="1"/>
  <c r="E46" i="9" s="1"/>
  <c r="P16" i="13"/>
  <c r="H16" i="13" s="1"/>
  <c r="P12" i="13"/>
  <c r="H12" i="13" s="1"/>
  <c r="H4" i="13"/>
  <c r="Q4" i="13" s="1"/>
  <c r="AC48" i="13" l="1"/>
  <c r="AC50" i="13" s="1"/>
  <c r="AC52" i="13" s="1"/>
  <c r="H13" i="13"/>
  <c r="I13" i="13" s="1"/>
  <c r="Q26" i="13"/>
  <c r="Q65" i="13"/>
  <c r="Q46" i="13"/>
  <c r="Y46" i="13"/>
  <c r="W46" i="13"/>
  <c r="Y26" i="13"/>
  <c r="W26" i="13"/>
  <c r="Q30" i="13"/>
  <c r="Y30" i="13"/>
  <c r="W30" i="13"/>
  <c r="Q25" i="13"/>
  <c r="Y25" i="13"/>
  <c r="W25" i="13"/>
  <c r="Q29" i="13"/>
  <c r="W29" i="13"/>
  <c r="Y29" i="13"/>
  <c r="Q8" i="13"/>
  <c r="Y8" i="13"/>
  <c r="W8" i="13"/>
  <c r="X44" i="13"/>
  <c r="V44" i="13"/>
  <c r="Y39" i="13"/>
  <c r="W39" i="13"/>
  <c r="W24" i="13"/>
  <c r="Y24" i="13"/>
  <c r="X32" i="13"/>
  <c r="V32" i="13"/>
  <c r="Y4" i="13"/>
  <c r="W4" i="13"/>
  <c r="Y18" i="13"/>
  <c r="W18" i="13"/>
  <c r="W17" i="13"/>
  <c r="Y17" i="13"/>
  <c r="W16" i="13"/>
  <c r="Y16" i="13"/>
  <c r="I15" i="13"/>
  <c r="W15" i="13"/>
  <c r="Y15" i="13"/>
  <c r="I14" i="13"/>
  <c r="W14" i="13"/>
  <c r="Y14" i="13"/>
  <c r="W12" i="13"/>
  <c r="Y12" i="13"/>
  <c r="Q11" i="13"/>
  <c r="Y11" i="13"/>
  <c r="W11" i="13"/>
  <c r="I10" i="13"/>
  <c r="Y10" i="13"/>
  <c r="W10" i="13"/>
  <c r="Q9" i="13"/>
  <c r="Y9" i="13"/>
  <c r="W9" i="13"/>
  <c r="Q7" i="13"/>
  <c r="W7" i="13"/>
  <c r="Y7" i="13"/>
  <c r="Q6" i="13"/>
  <c r="W6" i="13"/>
  <c r="Y6" i="13"/>
  <c r="H90" i="13"/>
  <c r="H91" i="13" s="1"/>
  <c r="X22" i="13"/>
  <c r="V22" i="13"/>
  <c r="I29" i="13"/>
  <c r="P65" i="13"/>
  <c r="I65" i="13"/>
  <c r="G48" i="13"/>
  <c r="C81" i="13" s="1"/>
  <c r="G34" i="13"/>
  <c r="O48" i="13"/>
  <c r="H81" i="13" s="1"/>
  <c r="O34" i="13"/>
  <c r="J48" i="13"/>
  <c r="J51" i="13" s="1"/>
  <c r="J34" i="13"/>
  <c r="Q14" i="13"/>
  <c r="I8" i="13"/>
  <c r="P69" i="13"/>
  <c r="I7" i="13"/>
  <c r="Q10" i="13"/>
  <c r="H27" i="13"/>
  <c r="I6" i="13"/>
  <c r="P32" i="13"/>
  <c r="I39" i="13"/>
  <c r="I25" i="13"/>
  <c r="I46" i="13"/>
  <c r="I30" i="13"/>
  <c r="I11" i="13"/>
  <c r="I9" i="13"/>
  <c r="Q15" i="13"/>
  <c r="I24" i="13"/>
  <c r="Q24" i="13"/>
  <c r="Q18" i="13"/>
  <c r="I18" i="13"/>
  <c r="Q17" i="13"/>
  <c r="I17" i="13"/>
  <c r="Q39" i="13"/>
  <c r="Q12" i="13"/>
  <c r="I12" i="13"/>
  <c r="P5" i="13"/>
  <c r="I16" i="13"/>
  <c r="Q16" i="13"/>
  <c r="H5" i="13" l="1"/>
  <c r="W5" i="13" s="1"/>
  <c r="Q13" i="13"/>
  <c r="W13" i="13"/>
  <c r="Y13" i="13"/>
  <c r="Q27" i="13"/>
  <c r="W27" i="13"/>
  <c r="Y27" i="13"/>
  <c r="V34" i="13"/>
  <c r="V48" i="13" s="1"/>
  <c r="X34" i="13"/>
  <c r="X48" i="13" s="1"/>
  <c r="G51" i="13"/>
  <c r="C83" i="13"/>
  <c r="C84" i="13" s="1"/>
  <c r="O51" i="13"/>
  <c r="H83" i="13"/>
  <c r="H84" i="13" s="1"/>
  <c r="H32" i="13"/>
  <c r="I27" i="13"/>
  <c r="I32" i="13" s="1"/>
  <c r="J191" i="7"/>
  <c r="Q191" i="7"/>
  <c r="Q192" i="7" s="1"/>
  <c r="O191" i="7"/>
  <c r="I4" i="13"/>
  <c r="G191" i="7"/>
  <c r="Q5" i="13" l="1"/>
  <c r="I5" i="13"/>
  <c r="Y5" i="13"/>
  <c r="Q32" i="13"/>
  <c r="Y32" i="13"/>
  <c r="W32" i="13"/>
  <c r="J60" i="13"/>
  <c r="O192" i="7"/>
  <c r="O60" i="13"/>
  <c r="G192" i="7"/>
  <c r="S191" i="7" s="1"/>
  <c r="G60" i="13"/>
  <c r="J54" i="13" l="1"/>
  <c r="O61" i="13"/>
  <c r="H75" i="13" s="1"/>
  <c r="G61" i="13"/>
  <c r="C75" i="13" s="1"/>
  <c r="M44" i="13"/>
  <c r="C77" i="13" l="1"/>
  <c r="C78" i="13" s="1"/>
  <c r="H77" i="13"/>
  <c r="H78" i="13" s="1"/>
  <c r="N42" i="13"/>
  <c r="P42" i="13" l="1"/>
  <c r="H42" i="13" s="1"/>
  <c r="N44" i="13"/>
  <c r="P44" i="13" l="1"/>
  <c r="W42" i="13"/>
  <c r="Y42" i="13"/>
  <c r="H44" i="13"/>
  <c r="I42" i="13"/>
  <c r="Q44" i="13" l="1"/>
  <c r="Y44" i="13"/>
  <c r="W44" i="13"/>
  <c r="I44" i="13"/>
  <c r="J190" i="7" l="1"/>
  <c r="J59" i="13" s="1"/>
  <c r="J192" i="7" l="1"/>
  <c r="J61" i="13" l="1"/>
  <c r="S183" i="7" l="1"/>
  <c r="T183" i="7" s="1"/>
  <c r="U183" i="7"/>
  <c r="K190" i="7"/>
  <c r="S65" i="7" l="1"/>
  <c r="S153" i="7"/>
  <c r="S74" i="7"/>
  <c r="S51" i="7"/>
  <c r="S19" i="7"/>
  <c r="S128" i="7"/>
  <c r="T128" i="7" s="1"/>
  <c r="R128" i="7"/>
  <c r="S145" i="7"/>
  <c r="T145" i="7" s="1"/>
  <c r="S96" i="7"/>
  <c r="S91" i="7"/>
  <c r="S103" i="7"/>
  <c r="S105" i="7"/>
  <c r="S69" i="7"/>
  <c r="S82" i="7"/>
  <c r="T82" i="7" s="1"/>
  <c r="S156" i="7"/>
  <c r="T156" i="7" s="1"/>
  <c r="S99" i="7"/>
  <c r="T99" i="7" s="1"/>
  <c r="S85" i="7"/>
  <c r="R85" i="7"/>
  <c r="S136" i="7"/>
  <c r="S107" i="7"/>
  <c r="T107" i="7" s="1"/>
  <c r="S142" i="7"/>
  <c r="T142" i="7" s="1"/>
  <c r="S21" i="7"/>
  <c r="T21" i="7" s="1"/>
  <c r="S37" i="7"/>
  <c r="T37" i="7" s="1"/>
  <c r="S111" i="7"/>
  <c r="T111" i="7" s="1"/>
  <c r="R111" i="7"/>
  <c r="S182" i="7"/>
  <c r="S126" i="7"/>
  <c r="T126" i="7" s="1"/>
  <c r="R126" i="7"/>
  <c r="S124" i="7"/>
  <c r="T124" i="7" s="1"/>
  <c r="S59" i="7"/>
  <c r="T59" i="7" s="1"/>
  <c r="R59" i="7"/>
  <c r="S84" i="7"/>
  <c r="T84" i="7" s="1"/>
  <c r="S30" i="7"/>
  <c r="S95" i="7"/>
  <c r="S112" i="7"/>
  <c r="R112" i="7"/>
  <c r="S152" i="7"/>
  <c r="S52" i="7"/>
  <c r="T52" i="7" s="1"/>
  <c r="R52" i="7"/>
  <c r="S39" i="7"/>
  <c r="T39" i="7" s="1"/>
  <c r="S147" i="7"/>
  <c r="S132" i="7"/>
  <c r="S160" i="7"/>
  <c r="S109" i="7"/>
  <c r="S141" i="7"/>
  <c r="T141" i="7" s="1"/>
  <c r="S102" i="7"/>
  <c r="T102" i="7" s="1"/>
  <c r="S181" i="7"/>
  <c r="S77" i="7"/>
  <c r="T77" i="7" s="1"/>
  <c r="S55" i="7"/>
  <c r="S113" i="7"/>
  <c r="S46" i="7"/>
  <c r="S13" i="7"/>
  <c r="S8" i="7"/>
  <c r="S180" i="7"/>
  <c r="T180" i="7" s="1"/>
  <c r="S89" i="7"/>
  <c r="R89" i="7"/>
  <c r="S76" i="7"/>
  <c r="S175" i="7"/>
  <c r="S174" i="7"/>
  <c r="S10" i="7"/>
  <c r="R10" i="7"/>
  <c r="S34" i="7"/>
  <c r="T34" i="7" s="1"/>
  <c r="S50" i="7"/>
  <c r="T50" i="7" s="1"/>
  <c r="S139" i="7"/>
  <c r="T139" i="7" s="1"/>
  <c r="S186" i="7"/>
  <c r="S154" i="7"/>
  <c r="S100" i="7"/>
  <c r="T100" i="7" s="1"/>
  <c r="S179" i="7"/>
  <c r="S120" i="7"/>
  <c r="S67" i="7"/>
  <c r="T67" i="7" s="1"/>
  <c r="S185" i="7"/>
  <c r="S146" i="7"/>
  <c r="S170" i="7"/>
  <c r="S15" i="7"/>
  <c r="S71" i="7"/>
  <c r="R71" i="7"/>
  <c r="S75" i="7"/>
  <c r="T75" i="7" s="1"/>
  <c r="S137" i="7"/>
  <c r="T137" i="7" s="1"/>
  <c r="S144" i="7"/>
  <c r="T144" i="7" s="1"/>
  <c r="S134" i="7"/>
  <c r="T134" i="7" s="1"/>
  <c r="S73" i="7"/>
  <c r="S130" i="7"/>
  <c r="R130" i="7"/>
  <c r="S41" i="7"/>
  <c r="S42" i="7"/>
  <c r="S121" i="7"/>
  <c r="S44" i="7"/>
  <c r="S49" i="7"/>
  <c r="T49" i="7" s="1"/>
  <c r="S176" i="7"/>
  <c r="S64" i="7"/>
  <c r="S184" i="7"/>
  <c r="S48" i="7"/>
  <c r="S45" i="7"/>
  <c r="R45" i="7"/>
  <c r="S129" i="7"/>
  <c r="T129" i="7" s="1"/>
  <c r="S88" i="7"/>
  <c r="T88" i="7" s="1"/>
  <c r="R88" i="7"/>
  <c r="S118" i="7"/>
  <c r="S140" i="7"/>
  <c r="T140" i="7" s="1"/>
  <c r="S56" i="7"/>
  <c r="S16" i="7"/>
  <c r="R16" i="7"/>
  <c r="S101" i="7"/>
  <c r="T101" i="7" s="1"/>
  <c r="S177" i="7"/>
  <c r="T177" i="7" s="1"/>
  <c r="S62" i="7"/>
  <c r="S163" i="7"/>
  <c r="S161" i="7"/>
  <c r="S23" i="7"/>
  <c r="S167" i="7"/>
  <c r="T167" i="7" s="1"/>
  <c r="S70" i="7"/>
  <c r="T70" i="7" s="1"/>
  <c r="R70" i="7"/>
  <c r="S158" i="7"/>
  <c r="T158" i="7" s="1"/>
  <c r="S61" i="7"/>
  <c r="R61" i="7"/>
  <c r="S117" i="7"/>
  <c r="S171" i="7"/>
  <c r="S18" i="7"/>
  <c r="T18" i="7" s="1"/>
  <c r="S131" i="7"/>
  <c r="T131" i="7" s="1"/>
  <c r="R131" i="7"/>
  <c r="S28" i="7"/>
  <c r="T28" i="7" s="1"/>
  <c r="S86" i="7"/>
  <c r="R86" i="7"/>
  <c r="S25" i="7"/>
  <c r="T25" i="7" s="1"/>
  <c r="S162" i="7"/>
  <c r="S135" i="7"/>
  <c r="T135" i="7" s="1"/>
  <c r="R135" i="7"/>
  <c r="S27" i="7"/>
  <c r="T27" i="7" s="1"/>
  <c r="R27" i="7"/>
  <c r="S43" i="7"/>
  <c r="S87" i="7"/>
  <c r="S150" i="7"/>
  <c r="S20" i="7"/>
  <c r="T20" i="7" s="1"/>
  <c r="R20" i="7"/>
  <c r="S81" i="7"/>
  <c r="T81" i="7" s="1"/>
  <c r="R81" i="7"/>
  <c r="S22" i="7"/>
  <c r="T22" i="7" s="1"/>
  <c r="R22" i="7"/>
  <c r="S83" i="7"/>
  <c r="S38" i="7"/>
  <c r="R38" i="7"/>
  <c r="S166" i="7"/>
  <c r="T166" i="7" s="1"/>
  <c r="S57" i="7"/>
  <c r="T57" i="7" s="1"/>
  <c r="S11" i="7"/>
  <c r="T11" i="7" s="1"/>
  <c r="S17" i="7"/>
  <c r="T17" i="7" s="1"/>
  <c r="R17" i="7"/>
  <c r="U104" i="7"/>
  <c r="S104" i="7"/>
  <c r="U93" i="7"/>
  <c r="S93" i="7"/>
  <c r="T93" i="7" s="1"/>
  <c r="S178" i="7"/>
  <c r="T178" i="7" s="1"/>
  <c r="S143" i="7"/>
  <c r="T143" i="7" s="1"/>
  <c r="U138" i="7"/>
  <c r="S138" i="7"/>
  <c r="T138" i="7" s="1"/>
  <c r="R133" i="7"/>
  <c r="S133" i="7"/>
  <c r="T133" i="7" s="1"/>
  <c r="S119" i="7"/>
  <c r="S116" i="7"/>
  <c r="T116" i="7" s="1"/>
  <c r="S115" i="7"/>
  <c r="T115" i="7" s="1"/>
  <c r="R114" i="7"/>
  <c r="S114" i="7"/>
  <c r="T114" i="7" s="1"/>
  <c r="R110" i="7"/>
  <c r="S110" i="7"/>
  <c r="R108" i="7"/>
  <c r="S108" i="7"/>
  <c r="T108" i="7" s="1"/>
  <c r="S106" i="7"/>
  <c r="T106" i="7" s="1"/>
  <c r="S94" i="7"/>
  <c r="T94" i="7" s="1"/>
  <c r="S172" i="7"/>
  <c r="T172" i="7" s="1"/>
  <c r="U157" i="7"/>
  <c r="S157" i="7"/>
  <c r="T157" i="7" s="1"/>
  <c r="U159" i="7"/>
  <c r="S159" i="7"/>
  <c r="T159" i="7" s="1"/>
  <c r="R127" i="7"/>
  <c r="S127" i="7"/>
  <c r="T127" i="7" s="1"/>
  <c r="R125" i="7"/>
  <c r="S125" i="7"/>
  <c r="T125" i="7" s="1"/>
  <c r="U58" i="7"/>
  <c r="S58" i="7"/>
  <c r="T58" i="7" s="1"/>
  <c r="S14" i="7"/>
  <c r="T14" i="7" s="1"/>
  <c r="S53" i="7"/>
  <c r="T53" i="7" s="1"/>
  <c r="R68" i="7"/>
  <c r="S68" i="7"/>
  <c r="T68" i="7" s="1"/>
  <c r="R72" i="7"/>
  <c r="S72" i="7"/>
  <c r="T72" i="7" s="1"/>
  <c r="S12" i="7"/>
  <c r="T12" i="7" s="1"/>
  <c r="S47" i="7"/>
  <c r="T47" i="7" s="1"/>
  <c r="R79" i="7"/>
  <c r="S79" i="7"/>
  <c r="T79" i="7" s="1"/>
  <c r="R80" i="7"/>
  <c r="S80" i="7"/>
  <c r="T80" i="7" s="1"/>
  <c r="R29" i="7"/>
  <c r="S29" i="7"/>
  <c r="T29" i="7" s="1"/>
  <c r="R33" i="7"/>
  <c r="S33" i="7"/>
  <c r="T33" i="7" s="1"/>
  <c r="S54" i="7"/>
  <c r="T54" i="7" s="1"/>
  <c r="R78" i="7"/>
  <c r="S78" i="7"/>
  <c r="T78" i="7" s="1"/>
  <c r="S40" i="7"/>
  <c r="T40" i="7" s="1"/>
  <c r="S187" i="7"/>
  <c r="T187" i="7" s="1"/>
  <c r="S149" i="7"/>
  <c r="T149" i="7" s="1"/>
  <c r="M188" i="7"/>
  <c r="U101" i="7"/>
  <c r="U38" i="7"/>
  <c r="T38" i="7"/>
  <c r="U109" i="7"/>
  <c r="T109" i="7"/>
  <c r="U89" i="7"/>
  <c r="U49" i="7"/>
  <c r="U76" i="7"/>
  <c r="T76" i="7"/>
  <c r="R76" i="7"/>
  <c r="U61" i="7"/>
  <c r="T61" i="7"/>
  <c r="U18" i="7"/>
  <c r="R18" i="7"/>
  <c r="U46" i="7"/>
  <c r="T46" i="7"/>
  <c r="U103" i="7"/>
  <c r="R103" i="7"/>
  <c r="T103" i="7"/>
  <c r="U23" i="7"/>
  <c r="T23" i="7"/>
  <c r="R23" i="7"/>
  <c r="U175" i="7"/>
  <c r="T175" i="7"/>
  <c r="U85" i="7"/>
  <c r="T85" i="7"/>
  <c r="U77" i="7"/>
  <c r="R77" i="7"/>
  <c r="U171" i="7"/>
  <c r="T171" i="7"/>
  <c r="U139" i="7"/>
  <c r="U154" i="7"/>
  <c r="T154" i="7"/>
  <c r="U180" i="7"/>
  <c r="U176" i="7"/>
  <c r="T176" i="7"/>
  <c r="U117" i="7"/>
  <c r="T117" i="7"/>
  <c r="U48" i="7"/>
  <c r="T48" i="7"/>
  <c r="U141" i="7"/>
  <c r="U167" i="7"/>
  <c r="U70" i="7"/>
  <c r="U131" i="7"/>
  <c r="U113" i="7"/>
  <c r="T113" i="7"/>
  <c r="R113" i="7"/>
  <c r="T69" i="7"/>
  <c r="U69" i="7"/>
  <c r="R69" i="7"/>
  <c r="U99" i="7"/>
  <c r="R99" i="7"/>
  <c r="U34" i="7"/>
  <c r="R34" i="7"/>
  <c r="U28" i="7"/>
  <c r="U67" i="7"/>
  <c r="R67" i="7"/>
  <c r="T161" i="7"/>
  <c r="U161" i="7"/>
  <c r="U82" i="7"/>
  <c r="R82" i="7"/>
  <c r="U102" i="7"/>
  <c r="U174" i="7"/>
  <c r="T174" i="7"/>
  <c r="U177" i="7"/>
  <c r="U65" i="7"/>
  <c r="R65" i="7"/>
  <c r="T65" i="7"/>
  <c r="U105" i="7"/>
  <c r="T105" i="7"/>
  <c r="R105" i="7"/>
  <c r="U156" i="7"/>
  <c r="T153" i="7"/>
  <c r="U153" i="7"/>
  <c r="U158" i="7"/>
  <c r="U10" i="7"/>
  <c r="T10" i="7"/>
  <c r="U107" i="7"/>
  <c r="U50" i="7"/>
  <c r="U142" i="7"/>
  <c r="U100" i="7"/>
  <c r="R100" i="7"/>
  <c r="U179" i="7"/>
  <c r="T179" i="7"/>
  <c r="U129" i="7"/>
  <c r="R129" i="7"/>
  <c r="U187" i="7"/>
  <c r="U64" i="7"/>
  <c r="T64" i="7"/>
  <c r="U115" i="7"/>
  <c r="U78" i="7"/>
  <c r="R93" i="7"/>
  <c r="U86" i="7"/>
  <c r="T86" i="7"/>
  <c r="U178" i="7"/>
  <c r="U126" i="7"/>
  <c r="T91" i="7"/>
  <c r="U91" i="7"/>
  <c r="R101" i="7"/>
  <c r="R109" i="7"/>
  <c r="U143" i="7"/>
  <c r="U4" i="7"/>
  <c r="S4" i="7"/>
  <c r="U136" i="7"/>
  <c r="T136" i="7"/>
  <c r="U54" i="7"/>
  <c r="U79" i="7"/>
  <c r="U125" i="7"/>
  <c r="U114" i="7"/>
  <c r="U55" i="7"/>
  <c r="T55" i="7"/>
  <c r="U108" i="7"/>
  <c r="U14" i="7"/>
  <c r="R14" i="7"/>
  <c r="U110" i="7"/>
  <c r="T110" i="7"/>
  <c r="U116" i="7"/>
  <c r="U149" i="7"/>
  <c r="U72" i="7"/>
  <c r="U135" i="7"/>
  <c r="U124" i="7"/>
  <c r="R124" i="7"/>
  <c r="U27" i="7"/>
  <c r="U40" i="7"/>
  <c r="U43" i="7"/>
  <c r="T43" i="7"/>
  <c r="U30" i="7"/>
  <c r="T30" i="7"/>
  <c r="U140" i="7"/>
  <c r="U81" i="7"/>
  <c r="U134" i="7"/>
  <c r="R134" i="7"/>
  <c r="T152" i="7"/>
  <c r="U152" i="7"/>
  <c r="U128" i="7"/>
  <c r="R62" i="7"/>
  <c r="U53" i="7"/>
  <c r="U119" i="7"/>
  <c r="U37" i="7"/>
  <c r="R37" i="7"/>
  <c r="U68" i="7"/>
  <c r="U111" i="7"/>
  <c r="U88" i="7"/>
  <c r="U80" i="7"/>
  <c r="U146" i="7"/>
  <c r="U170" i="7"/>
  <c r="T170" i="7"/>
  <c r="U133" i="7"/>
  <c r="U33" i="7"/>
  <c r="U21" i="7"/>
  <c r="R21" i="7"/>
  <c r="U127" i="7"/>
  <c r="U25" i="7"/>
  <c r="R25" i="7"/>
  <c r="U106" i="7"/>
  <c r="M190" i="7"/>
  <c r="T104" i="7"/>
  <c r="R104" i="7"/>
  <c r="U45" i="7"/>
  <c r="T45" i="7"/>
  <c r="U47" i="7"/>
  <c r="T89" i="7"/>
  <c r="U15" i="7"/>
  <c r="R15" i="7"/>
  <c r="T15" i="7"/>
  <c r="T74" i="7"/>
  <c r="R74" i="7"/>
  <c r="U74" i="7"/>
  <c r="T87" i="7"/>
  <c r="U87" i="7"/>
  <c r="U137" i="7"/>
  <c r="U95" i="7"/>
  <c r="U112" i="7"/>
  <c r="T112" i="7"/>
  <c r="T42" i="7"/>
  <c r="U42" i="7"/>
  <c r="U59" i="7"/>
  <c r="U75" i="7"/>
  <c r="R75" i="7"/>
  <c r="U20" i="7"/>
  <c r="U144" i="7"/>
  <c r="U94" i="7"/>
  <c r="U71" i="7"/>
  <c r="T71" i="7"/>
  <c r="U84" i="7"/>
  <c r="R84" i="7"/>
  <c r="T150" i="7"/>
  <c r="U150" i="7"/>
  <c r="U19" i="7"/>
  <c r="T19" i="7"/>
  <c r="R19" i="7"/>
  <c r="U22" i="7"/>
  <c r="T73" i="7"/>
  <c r="U73" i="7"/>
  <c r="R73" i="7"/>
  <c r="U52" i="7"/>
  <c r="K59" i="13"/>
  <c r="U130" i="7"/>
  <c r="T130" i="7"/>
  <c r="U39" i="7"/>
  <c r="R39" i="7"/>
  <c r="U132" i="7"/>
  <c r="T132" i="7"/>
  <c r="R132" i="7"/>
  <c r="R83" i="7"/>
  <c r="U83" i="7"/>
  <c r="T83" i="7"/>
  <c r="U172" i="7"/>
  <c r="U166" i="7"/>
  <c r="U57" i="7"/>
  <c r="U44" i="7"/>
  <c r="T44" i="7"/>
  <c r="U12" i="7"/>
  <c r="U29" i="7"/>
  <c r="U11" i="7"/>
  <c r="U145" i="7"/>
  <c r="T16" i="7"/>
  <c r="U16" i="7"/>
  <c r="U17" i="7"/>
  <c r="S5" i="7" l="1"/>
  <c r="T5" i="7" s="1"/>
  <c r="S169" i="7"/>
  <c r="T169" i="7" s="1"/>
  <c r="U169" i="7"/>
  <c r="U5" i="7"/>
  <c r="N190" i="7"/>
  <c r="N59" i="13" s="1"/>
  <c r="P190" i="7"/>
  <c r="N188" i="7"/>
  <c r="P188" i="7"/>
  <c r="S188" i="7" s="1"/>
  <c r="T188" i="7" s="1"/>
  <c r="R188" i="7"/>
  <c r="M59" i="13"/>
  <c r="I4" i="7"/>
  <c r="H188" i="7" l="1"/>
  <c r="H190" i="7"/>
  <c r="H59" i="13" s="1"/>
  <c r="Q59" i="13" s="1"/>
  <c r="P59" i="13"/>
  <c r="U188" i="7"/>
  <c r="I188" i="7"/>
  <c r="I190" i="7"/>
  <c r="I59" i="13" l="1"/>
  <c r="P20" i="13"/>
  <c r="H20" i="13" s="1"/>
  <c r="M22" i="13"/>
  <c r="M34" i="13" s="1"/>
  <c r="K22" i="13"/>
  <c r="N22" i="13"/>
  <c r="N48" i="13" s="1"/>
  <c r="M48" i="13" l="1"/>
  <c r="M191" i="7" s="1"/>
  <c r="K48" i="13"/>
  <c r="K34" i="13"/>
  <c r="N34" i="13"/>
  <c r="Q20" i="13"/>
  <c r="I20" i="13"/>
  <c r="P19" i="13"/>
  <c r="G88" i="13"/>
  <c r="G90" i="13" s="1"/>
  <c r="G91" i="13" s="1"/>
  <c r="G81" i="13" l="1"/>
  <c r="G83" i="13" s="1"/>
  <c r="G84" i="13" s="1"/>
  <c r="M51" i="13"/>
  <c r="M60" i="13"/>
  <c r="M192" i="7"/>
  <c r="N51" i="13"/>
  <c r="N191" i="7"/>
  <c r="H19" i="13"/>
  <c r="P22" i="13"/>
  <c r="K51" i="13"/>
  <c r="K191" i="7"/>
  <c r="K60" i="13" l="1"/>
  <c r="K192" i="7"/>
  <c r="N192" i="7"/>
  <c r="N61" i="13" s="1"/>
  <c r="N60" i="13"/>
  <c r="P34" i="13"/>
  <c r="P48" i="13"/>
  <c r="M61" i="13"/>
  <c r="G75" i="13" s="1"/>
  <c r="G77" i="13" s="1"/>
  <c r="G78" i="13" s="1"/>
  <c r="J53" i="13"/>
  <c r="J55" i="13" s="1"/>
  <c r="H22" i="13"/>
  <c r="I88" i="13" s="1"/>
  <c r="I19" i="13"/>
  <c r="I22" i="13" s="1"/>
  <c r="Q19" i="13"/>
  <c r="I34" i="13" l="1"/>
  <c r="I48" i="13"/>
  <c r="S195" i="7"/>
  <c r="K61" i="13"/>
  <c r="I90" i="13"/>
  <c r="I91" i="13" s="1"/>
  <c r="Q22" i="13"/>
  <c r="H48" i="13"/>
  <c r="Q48" i="13" s="1"/>
  <c r="Y22" i="13"/>
  <c r="W22" i="13"/>
  <c r="H34" i="13"/>
  <c r="P191" i="7"/>
  <c r="P51" i="13"/>
  <c r="W48" i="13" l="1"/>
  <c r="Q51" i="13"/>
  <c r="Y48" i="13"/>
  <c r="I81" i="13"/>
  <c r="I83" i="13" s="1"/>
  <c r="I84" i="13" s="1"/>
  <c r="H191" i="7"/>
  <c r="H51" i="13"/>
  <c r="I51" i="13"/>
  <c r="I191" i="7"/>
  <c r="P60" i="13"/>
  <c r="P192" i="7"/>
  <c r="Y34" i="13"/>
  <c r="W34" i="13"/>
  <c r="Q34" i="13"/>
  <c r="I60" i="13" l="1"/>
  <c r="I192" i="7"/>
  <c r="I61" i="13" s="1"/>
  <c r="P61" i="13"/>
  <c r="R62" i="13" s="1"/>
  <c r="S198" i="7"/>
  <c r="H60" i="13"/>
  <c r="Q60" i="13" s="1"/>
  <c r="H192" i="7"/>
  <c r="H61" i="13" l="1"/>
  <c r="S199" i="7"/>
  <c r="S200" i="7"/>
  <c r="I75" i="13" l="1"/>
  <c r="I77" i="13" s="1"/>
  <c r="I78" i="13" s="1"/>
  <c r="Q61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Sandra Carlson</author>
    <author>Amy Dexter</author>
    <author>Tamara Helmstetler</author>
  </authors>
  <commentList>
    <comment ref="O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Sandra Carlson:</t>
        </r>
        <r>
          <rPr>
            <sz val="9"/>
            <color indexed="81"/>
            <rFont val="Tahoma"/>
            <family val="2"/>
          </rPr>
          <t xml:space="preserve">
Adjust manually see 2160
</t>
        </r>
      </text>
    </comment>
    <comment ref="J8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Amy Dexter:</t>
        </r>
        <r>
          <rPr>
            <sz val="9"/>
            <color indexed="81"/>
            <rFont val="Tahoma"/>
            <family val="2"/>
          </rPr>
          <t xml:space="preserve">
Didn't update cash projection for preliminary budget.  Will review for adoption</t>
        </r>
      </text>
    </comment>
    <comment ref="O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Sandra Carlson:</t>
        </r>
        <r>
          <rPr>
            <sz val="9"/>
            <color indexed="81"/>
            <rFont val="Tahoma"/>
            <family val="2"/>
          </rPr>
          <t xml:space="preserve">
Adjust manually by 721
</t>
        </r>
      </text>
    </comment>
    <comment ref="R8" authorId="1" shapeId="0" xr:uid="{9FB74241-F9F3-4E12-BE50-1DA8EC07C4C7}">
      <text>
        <r>
          <rPr>
            <sz val="9"/>
            <color indexed="81"/>
            <rFont val="Tahoma"/>
            <family val="2"/>
          </rPr>
          <t>Adj. to maintain $282k.</t>
        </r>
      </text>
    </comment>
    <comment ref="O1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Sandra Carlson:</t>
        </r>
        <r>
          <rPr>
            <sz val="9"/>
            <color indexed="81"/>
            <rFont val="Tahoma"/>
            <family val="2"/>
          </rPr>
          <t xml:space="preserve">
Different tax base - Does not include the City of Whitefish.</t>
        </r>
      </text>
    </comment>
    <comment ref="R12" authorId="1" shapeId="0" xr:uid="{9A706E54-1318-498A-9E79-397820E71C7B}">
      <text>
        <r>
          <rPr>
            <sz val="9"/>
            <color indexed="81"/>
            <rFont val="Tahoma"/>
            <family val="2"/>
          </rPr>
          <t>Adj. for decrease of $66k per letter sent.</t>
        </r>
      </text>
    </comment>
    <comment ref="R24" authorId="1" shapeId="0" xr:uid="{A4E2B947-2449-4E82-8207-DFDE2FD861D2}">
      <text>
        <r>
          <rPr>
            <sz val="9"/>
            <color indexed="81"/>
            <rFont val="Tahoma"/>
            <family val="2"/>
          </rPr>
          <t>Inc. Mills to increase cash reserves.</t>
        </r>
      </text>
    </comment>
    <comment ref="D28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Amy Dexter:</t>
        </r>
        <r>
          <rPr>
            <sz val="9"/>
            <color indexed="81"/>
            <rFont val="Tahoma"/>
            <family val="2"/>
          </rPr>
          <t xml:space="preserve">
The amount is derived from 3% of the salaries of those employees in SRS.  Review funds 2300, 2382, 2916.  I included the overtime, sick/vac payout.  Do not include Uniform or Comp Cash out as we do not pay SRS on those benefits</t>
        </r>
      </text>
    </comment>
    <comment ref="H28" authorId="2" shapeId="0" xr:uid="{00000000-0006-0000-0100-000009000000}">
      <text>
        <r>
          <rPr>
            <b/>
            <sz val="9"/>
            <color indexed="81"/>
            <rFont val="Tahoma"/>
            <family val="2"/>
          </rPr>
          <t>Tamara Helmstetler:</t>
        </r>
        <r>
          <rPr>
            <sz val="9"/>
            <color indexed="81"/>
            <rFont val="Tahoma"/>
            <family val="2"/>
          </rPr>
          <t xml:space="preserve">
added formula; does exp need to increase to match last year's tax rev?</t>
        </r>
      </text>
    </comment>
    <comment ref="R28" authorId="1" shapeId="0" xr:uid="{9210A312-3D16-4719-A9C3-319F6A1D384D}">
      <text>
        <r>
          <rPr>
            <sz val="9"/>
            <color indexed="81"/>
            <rFont val="Tahoma"/>
            <family val="2"/>
          </rPr>
          <t>Lowered Mill due to decrease in Sheriff Retirment exp. lowering.</t>
        </r>
      </text>
    </comment>
    <comment ref="O42" authorId="0" shapeId="0" xr:uid="{00000000-0006-0000-0100-00000B000000}">
      <text>
        <r>
          <rPr>
            <sz val="9"/>
            <color indexed="81"/>
            <rFont val="Tahoma"/>
            <family val="2"/>
          </rPr>
          <t>2 mills on tax value outside of municipalities-ONLY taxes afer emergency</t>
        </r>
      </text>
    </comment>
    <comment ref="M46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Sandra Carlson:</t>
        </r>
        <r>
          <rPr>
            <sz val="9"/>
            <color indexed="81"/>
            <rFont val="Tahoma"/>
            <family val="2"/>
          </rPr>
          <t xml:space="preserve">
Kalispell taxes included in property tax
</t>
        </r>
      </text>
    </comment>
    <comment ref="O46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Sandra Carlson:</t>
        </r>
        <r>
          <rPr>
            <sz val="9"/>
            <color indexed="81"/>
            <rFont val="Tahoma"/>
            <family val="2"/>
          </rPr>
          <t xml:space="preserve">
Calculate using the whole County levy.  When the final is calculated it is County less Kalispell plus Kalispell.  It amounts to about the same tax.</t>
        </r>
      </text>
    </comment>
    <comment ref="R46" authorId="1" shapeId="0" xr:uid="{34F9066E-359A-439A-8B82-DACA98C4BF8B}">
      <text>
        <r>
          <rPr>
            <sz val="9"/>
            <color indexed="81"/>
            <rFont val="Tahoma"/>
            <family val="2"/>
          </rPr>
          <t>Lowered mills to bring under 33%.</t>
        </r>
      </text>
    </comment>
  </commentList>
</comments>
</file>

<file path=xl/sharedStrings.xml><?xml version="1.0" encoding="utf-8"?>
<sst xmlns="http://schemas.openxmlformats.org/spreadsheetml/2006/main" count="377" uniqueCount="305">
  <si>
    <t xml:space="preserve"> </t>
  </si>
  <si>
    <t>Transportation</t>
  </si>
  <si>
    <t>General</t>
  </si>
  <si>
    <t>Bridge</t>
  </si>
  <si>
    <t>Weed</t>
  </si>
  <si>
    <t>District Court</t>
  </si>
  <si>
    <t>Comp Insurance</t>
  </si>
  <si>
    <t>Library</t>
  </si>
  <si>
    <t>Planning</t>
  </si>
  <si>
    <t>Extension</t>
  </si>
  <si>
    <t>TOTAL</t>
  </si>
  <si>
    <t>Change</t>
  </si>
  <si>
    <t>Road</t>
  </si>
  <si>
    <t>Search &amp; Rescue</t>
  </si>
  <si>
    <t>Difference</t>
  </si>
  <si>
    <t>Poor</t>
  </si>
  <si>
    <t>Park</t>
  </si>
  <si>
    <t>Emergency/Disaster</t>
  </si>
  <si>
    <t>Health</t>
  </si>
  <si>
    <t>EMS Program</t>
  </si>
  <si>
    <t>Area on Aging</t>
  </si>
  <si>
    <t>Sheriff</t>
  </si>
  <si>
    <t>Retirement</t>
  </si>
  <si>
    <t>Group Insurance</t>
  </si>
  <si>
    <t>Perm. Med Levy</t>
  </si>
  <si>
    <t>Special EMS</t>
  </si>
  <si>
    <t>Juv. Detention</t>
  </si>
  <si>
    <t>Airport Authority</t>
  </si>
  <si>
    <t>Port Authority</t>
  </si>
  <si>
    <t xml:space="preserve">R S V P </t>
  </si>
  <si>
    <t>Tax Year</t>
  </si>
  <si>
    <t>Taxable Value</t>
  </si>
  <si>
    <t>Per Mill</t>
  </si>
  <si>
    <t xml:space="preserve">Census = </t>
  </si>
  <si>
    <t>Census = 74,471</t>
  </si>
  <si>
    <t>Cumulative</t>
  </si>
  <si>
    <t>Census =</t>
  </si>
  <si>
    <t>25.8% change 1990 - 2000</t>
  </si>
  <si>
    <t>OUTSIDE CITIES</t>
  </si>
  <si>
    <t>TOTAL OUTSIDE CITIES</t>
  </si>
  <si>
    <t>.</t>
  </si>
  <si>
    <t>Mosquito</t>
  </si>
  <si>
    <t>TOTAL COUNTYWIDE</t>
  </si>
  <si>
    <t>TOTAL COUNTYWIDE NON VOTED</t>
  </si>
  <si>
    <t>OUTSIDE CITIES VOTED/EXEMPT</t>
  </si>
  <si>
    <t>APPROPRIATION</t>
  </si>
  <si>
    <t>CASH</t>
  </si>
  <si>
    <t>RESERVES</t>
  </si>
  <si>
    <t>REQUIRED</t>
  </si>
  <si>
    <t>AVAILABLE</t>
  </si>
  <si>
    <t>RESOURCES</t>
  </si>
  <si>
    <t>REVENUES</t>
  </si>
  <si>
    <t>TOTAL NON TAX</t>
  </si>
  <si>
    <t>PROPERTY TAX</t>
  </si>
  <si>
    <t>MILL</t>
  </si>
  <si>
    <t>LEVY</t>
  </si>
  <si>
    <t>HOME HEALTH</t>
  </si>
  <si>
    <t>RADON PROGRAM</t>
  </si>
  <si>
    <t>TOBACCO</t>
  </si>
  <si>
    <t>HEALTH CLINIC</t>
  </si>
  <si>
    <t>CONSORTIUM II</t>
  </si>
  <si>
    <t>W I C</t>
  </si>
  <si>
    <t>FAMILY PLANNING</t>
  </si>
  <si>
    <t>M C H GRANT</t>
  </si>
  <si>
    <t>CONSORTIA III</t>
  </si>
  <si>
    <t>AIDS GRANT</t>
  </si>
  <si>
    <t>IMMUNIZATION</t>
  </si>
  <si>
    <t>TB GRANT</t>
  </si>
  <si>
    <t>AIR QUALITY GRANT</t>
  </si>
  <si>
    <t>OBESITY PREVENTION</t>
  </si>
  <si>
    <t>DRUG FREE COMM</t>
  </si>
  <si>
    <t>PREDATORY ANIMAL</t>
  </si>
  <si>
    <t>PARKS/CASH IN LIEU</t>
  </si>
  <si>
    <t>SCHOOL COOP</t>
  </si>
  <si>
    <t>BIG MT</t>
  </si>
  <si>
    <t>FC FIRE SERVICE AREA</t>
  </si>
  <si>
    <t>DUI REINSTATEMENT</t>
  </si>
  <si>
    <t>RECORDS PRESERVATION</t>
  </si>
  <si>
    <t>GAS TAX</t>
  </si>
  <si>
    <t>JUNK VEHICLE</t>
  </si>
  <si>
    <t>P I L T</t>
  </si>
  <si>
    <t>FOREST RESERVE TITLE</t>
  </si>
  <si>
    <t>SOLID WASTE</t>
  </si>
  <si>
    <t>REFUSE/CLOSURE</t>
  </si>
  <si>
    <t>LINED CELL TRUST</t>
  </si>
  <si>
    <t>WEED TRUCK GRANT</t>
  </si>
  <si>
    <t>TALLY LK TANSY RAGW</t>
  </si>
  <si>
    <t>GIS-MLIA</t>
  </si>
  <si>
    <t>ACCOUNTABILITY ENFOR</t>
  </si>
  <si>
    <t>BCC/DRUG INVESTIGATION</t>
  </si>
  <si>
    <t>HIDTA</t>
  </si>
  <si>
    <t>ALCOHOL ENFORCEMTN</t>
  </si>
  <si>
    <t>STEP DUI</t>
  </si>
  <si>
    <t>VFA PROGRAM</t>
  </si>
  <si>
    <t>BULLET PROOF VEST</t>
  </si>
  <si>
    <t>CTEP LAKESIDE</t>
  </si>
  <si>
    <t>COMMUNITY YOUTH SUICIDE</t>
  </si>
  <si>
    <t>MEDICAID WAIVER</t>
  </si>
  <si>
    <t>HALO PROJECT</t>
  </si>
  <si>
    <t>I&amp;R COMM SERVICE</t>
  </si>
  <si>
    <t>INDEPENDENT LIVING</t>
  </si>
  <si>
    <t>NUTRITION</t>
  </si>
  <si>
    <t>SENIOR CENTERS</t>
  </si>
  <si>
    <t>TRAINING GRANT</t>
  </si>
  <si>
    <t>SR HOME REPAIR</t>
  </si>
  <si>
    <t>SID REVOLVING</t>
  </si>
  <si>
    <t>EVERGREEN SRT</t>
  </si>
  <si>
    <t>RESTHAVEN SEWER</t>
  </si>
  <si>
    <t>EVERGREEN SEWER SID</t>
  </si>
  <si>
    <t>BIGFORK NORTH SEWER</t>
  </si>
  <si>
    <t>BIG MTN WATER PAVING</t>
  </si>
  <si>
    <t>SANDY HILL SID</t>
  </si>
  <si>
    <t>SHADY LANE SID</t>
  </si>
  <si>
    <t>WILLIAM LANE SID</t>
  </si>
  <si>
    <t>SOUTHSIDE TOWNHOMES SID</t>
  </si>
  <si>
    <t>CAP IMPROV JUNK VEHICLE</t>
  </si>
  <si>
    <t>HEALTH DEPT CA</t>
  </si>
  <si>
    <t>ANIMAL CONTROL CIP</t>
  </si>
  <si>
    <t>SHERIFF PATROL CAR</t>
  </si>
  <si>
    <t>FC DETENTION CTR</t>
  </si>
  <si>
    <t>FC LAND</t>
  </si>
  <si>
    <t>COUNTY BLDG CIP</t>
  </si>
  <si>
    <t>FAIR LAND ACQ</t>
  </si>
  <si>
    <t>PLANNING CAR/COPIER</t>
  </si>
  <si>
    <t>MICRO COMPUTER</t>
  </si>
  <si>
    <t>LIBRARY DEPRECIATION</t>
  </si>
  <si>
    <t>ROAD CIP</t>
  </si>
  <si>
    <t>ANIMAL CNTRL FEED</t>
  </si>
  <si>
    <t>EVERGREEN MEDIAN</t>
  </si>
  <si>
    <t>FOSTER CARE</t>
  </si>
  <si>
    <t>LIBRARY GIFTS</t>
  </si>
  <si>
    <t>COA ADVISORY</t>
  </si>
  <si>
    <t>SOMERS ENDOWMENT</t>
  </si>
  <si>
    <t>CO ATTNY VICTIMS</t>
  </si>
  <si>
    <t>GROUP INSURANCE TRUST</t>
  </si>
  <si>
    <t>TOTAL NON-TAX</t>
  </si>
  <si>
    <t>NON LEVIED TOTALS</t>
  </si>
  <si>
    <t>CASH RESERVE</t>
  </si>
  <si>
    <t>%</t>
  </si>
  <si>
    <t>SOLID WASTE LAND PURCHASE ACCT</t>
  </si>
  <si>
    <t>FEC IMPROVEMENT FUND</t>
  </si>
  <si>
    <t>RESTHAVEN RSID</t>
  </si>
  <si>
    <t>LODGEPOLE RSID</t>
  </si>
  <si>
    <t>SNOWGHOST RSID</t>
  </si>
  <si>
    <t>BADROCK RSID</t>
  </si>
  <si>
    <t>MENNONITE RSID</t>
  </si>
  <si>
    <t>AREA ON AGING CIP</t>
  </si>
  <si>
    <t>MOSQUITO CIP</t>
  </si>
  <si>
    <t>SWAN HORSESHOE RSID</t>
  </si>
  <si>
    <t>BUCKLE UP FLATHEAD</t>
  </si>
  <si>
    <t>CHILDRENS ADVOCACY CENTER</t>
  </si>
  <si>
    <t>BIGFORK STORMWATER</t>
  </si>
  <si>
    <t>MUSEUM</t>
  </si>
  <si>
    <t>HEALTH DEBT SERVICE</t>
  </si>
  <si>
    <t>SO COMMISSARY</t>
  </si>
  <si>
    <t>SUBDIVISION TRUST</t>
  </si>
  <si>
    <t>NATIONAL CHILDRENS ALLIANCE</t>
  </si>
  <si>
    <t>SENIOR SERVICES CIP</t>
  </si>
  <si>
    <t>MAINTENANCE CIP</t>
  </si>
  <si>
    <t>PARKS GRANT FUND</t>
  </si>
  <si>
    <t>SEARCH &amp; RESCUE CIP</t>
  </si>
  <si>
    <t>MT MEDICAID HEALTH IMPROVEMENT</t>
  </si>
  <si>
    <t>COPS HIRING GRANT</t>
  </si>
  <si>
    <t>WAR SUPPLEMENTAL GRANT</t>
  </si>
  <si>
    <t>COUNTYWIDE CAPITAL</t>
  </si>
  <si>
    <t>PARK CIP</t>
  </si>
  <si>
    <t>WEED CIP</t>
  </si>
  <si>
    <t>JAG CIVIL GRANT</t>
  </si>
  <si>
    <t>Balance</t>
  </si>
  <si>
    <t>Projected Cash</t>
  </si>
  <si>
    <t>EMS CIP FUND</t>
  </si>
  <si>
    <t>Fair</t>
  </si>
  <si>
    <t>DRUG FORFEITURES</t>
  </si>
  <si>
    <t>BRIDGE CIP</t>
  </si>
  <si>
    <t>EXTENSION CIP</t>
  </si>
  <si>
    <t>DISTRICT COURT CIP</t>
  </si>
  <si>
    <t>FY14 MILL</t>
  </si>
  <si>
    <t>EXTENSION GRANTS</t>
  </si>
  <si>
    <t>CHILDREN'S ADVOCACY CENTER</t>
  </si>
  <si>
    <t>SHERIFFS DRUG TRUST FUND</t>
  </si>
  <si>
    <t>DRUG FORFEITURE/FED SHARED</t>
  </si>
  <si>
    <t>BORDER INTEROPERABILITY</t>
  </si>
  <si>
    <t>CDBG</t>
  </si>
  <si>
    <t>BERNE ROAD RSID #152</t>
  </si>
  <si>
    <t>MONEGAN ROAD RSID #153</t>
  </si>
  <si>
    <t>JUVENILE DETENTION CIP</t>
  </si>
  <si>
    <t>CTEP PROJECTS</t>
  </si>
  <si>
    <t>LITTLE MOUNTAIN RSID #154</t>
  </si>
  <si>
    <t>DEPARTMENT OF JUSTICE GRANTS</t>
  </si>
  <si>
    <t>GLACIER NATIONAL PARK</t>
  </si>
  <si>
    <t>FY15 MILL</t>
  </si>
  <si>
    <t>TRANSPORTATION CIP</t>
  </si>
  <si>
    <t>Net</t>
  </si>
  <si>
    <t>HAVA GRANT</t>
  </si>
  <si>
    <t>GATEWAY TO GLACIER BIKE</t>
  </si>
  <si>
    <t>Revenues</t>
  </si>
  <si>
    <t>Expenditures</t>
  </si>
  <si>
    <t>ICAC</t>
  </si>
  <si>
    <t>Census = 90,928  14.396% since 2005, 64.551% since 1990</t>
  </si>
  <si>
    <t>Census = 79,485 6.73% since 2000, 30.48% since 1990</t>
  </si>
  <si>
    <t>ANIMAL SHELTER DONATIONS</t>
  </si>
  <si>
    <t>CLINIC RESIDENCY PROGRAM</t>
  </si>
  <si>
    <t>BIG MOUNT RSID #155</t>
  </si>
  <si>
    <t>FEMA GRANT FUND</t>
  </si>
  <si>
    <t>PREVENTIONAL BLOCK GRANT</t>
  </si>
  <si>
    <t>BIG MT RSID #155-TAXABLE</t>
  </si>
  <si>
    <t>BIG MT RSID #155-NON-TAXABLE</t>
  </si>
  <si>
    <t>RECORDS PRESERVATION CIP</t>
  </si>
  <si>
    <t>BIGFORK STORMWATER #156</t>
  </si>
  <si>
    <t>3001/3002</t>
  </si>
  <si>
    <t>911 GO Bond Debt Service</t>
  </si>
  <si>
    <t>TRANSFER OUT</t>
  </si>
  <si>
    <t>OTHER</t>
  </si>
  <si>
    <t>OTHER NON-TAX</t>
  </si>
  <si>
    <t>TRANSFER IN</t>
  </si>
  <si>
    <t xml:space="preserve">TOTAL NON- </t>
  </si>
  <si>
    <t>TAX REVENUES</t>
  </si>
  <si>
    <t>APPROPRIATIONS</t>
  </si>
  <si>
    <t>TOTAL NON-</t>
  </si>
  <si>
    <t>With Transfers</t>
  </si>
  <si>
    <t>Transfers</t>
  </si>
  <si>
    <t>Summary:</t>
  </si>
  <si>
    <t>CAPITAL OUTLAY</t>
  </si>
  <si>
    <t>Balance Cks</t>
  </si>
  <si>
    <t>CY</t>
  </si>
  <si>
    <t>LY</t>
  </si>
  <si>
    <t>% change</t>
  </si>
  <si>
    <t>Capital:</t>
  </si>
  <si>
    <t>Non Tax Rev</t>
  </si>
  <si>
    <t>Property Tax</t>
  </si>
  <si>
    <t>Cash Reserve</t>
  </si>
  <si>
    <t>Total Appropriations:</t>
  </si>
  <si>
    <t>Operational Appropriations</t>
  </si>
  <si>
    <t>All Funds:</t>
  </si>
  <si>
    <t>Tax Levied Funds</t>
  </si>
  <si>
    <t>Family of Funds:</t>
  </si>
  <si>
    <t>CHAPMAN HILL ROAD</t>
  </si>
  <si>
    <t>SHERIFF LOCAL CONTRACTS</t>
  </si>
  <si>
    <t>PPTax</t>
  </si>
  <si>
    <t>^ 1%</t>
  </si>
  <si>
    <t>^ 2%</t>
  </si>
  <si>
    <t>Assuming Mill value increase &amp; effect on reserve</t>
  </si>
  <si>
    <t>BAD CHECK RESTITUTION TRUST</t>
  </si>
  <si>
    <t>CRIMINAL RESTITUTION TRUST</t>
  </si>
  <si>
    <t>SOUTH CAMPUS PATIO</t>
  </si>
  <si>
    <t>JUV PRISONER DEPOSITS</t>
  </si>
  <si>
    <t>FORECLOSURE FUND</t>
  </si>
  <si>
    <t>Total Revenue</t>
  </si>
  <si>
    <t>Transfer In</t>
  </si>
  <si>
    <t>Other Non Tax Revenue</t>
  </si>
  <si>
    <t>Total Expenditures</t>
  </si>
  <si>
    <t xml:space="preserve">Transfer Out </t>
  </si>
  <si>
    <t>Capital</t>
  </si>
  <si>
    <t>Other Appropriations</t>
  </si>
  <si>
    <t>JAIL DONATIONS</t>
  </si>
  <si>
    <t>SANDY HILL RSID 157</t>
  </si>
  <si>
    <t>ROAD IMPROVEMENTS PAID BY PROPERTY OWNER</t>
  </si>
  <si>
    <t>TOTAL COUNTYWIDE VOTED/PERMISSIVE EXEMPT</t>
  </si>
  <si>
    <t>Perm. SRS Levy</t>
  </si>
  <si>
    <t>Tax Revenue</t>
  </si>
  <si>
    <t xml:space="preserve">GAS TAX SPECIAL </t>
  </si>
  <si>
    <t>Increasing Cash Balance</t>
  </si>
  <si>
    <t>PARK DONATION-RESTRICTED USE</t>
  </si>
  <si>
    <t>MARKETABLE CREDTI IMPROVEMENT FUND</t>
  </si>
  <si>
    <t>Verify that you total and match the projected cash balance worksheet.</t>
  </si>
  <si>
    <t>Resources Avaiable-Open the Projected Cash Balance Worksheet and input the beginning cash balance.</t>
  </si>
  <si>
    <t>SANDY HILL RURAL MAINT DIST</t>
  </si>
  <si>
    <t>If you are out of balance check to make sure it isn't airport/FCEDA</t>
  </si>
  <si>
    <t>Using the Tax levy Info spreadsheet complete the revenue and expenses columns in columns AA-AI</t>
  </si>
  <si>
    <t>Verify the ending cash balance ties back to the Projected Cash Balance Worksheet.</t>
  </si>
  <si>
    <t>VETERANS DIRECTED CARE</t>
  </si>
  <si>
    <t>HEALTHY YOUNG PARENTS</t>
  </si>
  <si>
    <t>HEALTH ADMIN GRANTS</t>
  </si>
  <si>
    <t xml:space="preserve">TRAIL MAINTENANCE </t>
  </si>
  <si>
    <t>PREP</t>
  </si>
  <si>
    <t>FECC CIP</t>
  </si>
  <si>
    <t xml:space="preserve">FECC  </t>
  </si>
  <si>
    <t>STATE 911</t>
  </si>
  <si>
    <t>MENTAL HEALTH GRANTS</t>
  </si>
  <si>
    <t>LIBRARY CIP</t>
  </si>
  <si>
    <t>RIVER BUTTE RSID 158</t>
  </si>
  <si>
    <t>FY23 LEVIED TOTALS</t>
  </si>
  <si>
    <t xml:space="preserve">FY23 NON LEVIED TOTALS </t>
  </si>
  <si>
    <t>FY23 GRAND TOTAL</t>
  </si>
  <si>
    <t>ARPA</t>
  </si>
  <si>
    <t>FAIRGROUNDS CIP</t>
  </si>
  <si>
    <t>PHEP</t>
  </si>
  <si>
    <t>MONTANA CANCER CONTROL</t>
  </si>
  <si>
    <t>EVERGREEN SIDEWALKS</t>
  </si>
  <si>
    <t xml:space="preserve">MILL VALUE FOR FY24 = </t>
  </si>
  <si>
    <t xml:space="preserve">FY24 NON LEVIED TOTALS </t>
  </si>
  <si>
    <t>FY24 LEVIED TOTALS</t>
  </si>
  <si>
    <t>FY24 GRAND TOTAL</t>
  </si>
  <si>
    <t>FY24 MILL</t>
  </si>
  <si>
    <t>RECORDS SCANNING</t>
  </si>
  <si>
    <t>LATCF</t>
  </si>
  <si>
    <t>DNRC ARPA</t>
  </si>
  <si>
    <t>SOLID WASTE CIP</t>
  </si>
  <si>
    <t xml:space="preserve">MILL VALUE FOR FY25 = </t>
  </si>
  <si>
    <t>FY25 GRAND TOTAL</t>
  </si>
  <si>
    <t>FY25 LEVIED TOTALS</t>
  </si>
  <si>
    <t xml:space="preserve">FY25 NON LEVIED TOTALS </t>
  </si>
  <si>
    <t>DIFFERENCE (FY25-24)</t>
  </si>
  <si>
    <t>ARPA-UNRESTRICTED</t>
  </si>
  <si>
    <t>OPIOID SETTLEMENT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</si>
</sst>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</numFmts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 val="singleAccounting"/>
      <sz val="10"/>
      <color theme="3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164" fontId="0" fillId="0" borderId="0" xfId="1" applyNumberFormat="1" applyFont="1"/>
    <xf numFmtId="10" fontId="0" fillId="0" borderId="0" xfId="6" applyNumberFormat="1" applyFont="1"/>
    <xf numFmtId="0" fontId="0" fillId="0" borderId="0" xfId="0" applyAlignment="1">
      <alignment horizontal="center"/>
    </xf>
    <xf numFmtId="10" fontId="0" fillId="0" borderId="0" xfId="0" applyNumberFormat="1"/>
    <xf numFmtId="0" fontId="2" fillId="0" borderId="0" xfId="0" applyFont="1"/>
    <xf numFmtId="43" fontId="0" fillId="0" borderId="0" xfId="0" applyNumberFormat="1"/>
    <xf numFmtId="0" fontId="5" fillId="0" borderId="0" xfId="0" applyFont="1"/>
    <xf numFmtId="164" fontId="2" fillId="0" borderId="0" xfId="1" applyNumberFormat="1" applyFont="1" applyFill="1" applyBorder="1"/>
    <xf numFmtId="43" fontId="2" fillId="0" borderId="0" xfId="0" applyNumberFormat="1" applyFont="1" applyAlignment="1">
      <alignment horizontal="center"/>
    </xf>
    <xf numFmtId="0" fontId="4" fillId="0" borderId="0" xfId="0" applyFont="1"/>
    <xf numFmtId="43" fontId="0" fillId="0" borderId="0" xfId="1" applyFont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1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7" fillId="0" borderId="0" xfId="0" applyFont="1"/>
    <xf numFmtId="0" fontId="8" fillId="3" borderId="2" xfId="0" applyFont="1" applyFill="1" applyBorder="1"/>
    <xf numFmtId="0" fontId="8" fillId="3" borderId="3" xfId="0" applyFont="1" applyFill="1" applyBorder="1"/>
    <xf numFmtId="164" fontId="8" fillId="3" borderId="3" xfId="1" applyNumberFormat="1" applyFont="1" applyFill="1" applyBorder="1"/>
    <xf numFmtId="0" fontId="8" fillId="0" borderId="0" xfId="0" applyFont="1"/>
    <xf numFmtId="0" fontId="8" fillId="3" borderId="4" xfId="0" applyFont="1" applyFill="1" applyBorder="1"/>
    <xf numFmtId="0" fontId="8" fillId="3" borderId="1" xfId="0" applyFont="1" applyFill="1" applyBorder="1"/>
    <xf numFmtId="164" fontId="8" fillId="3" borderId="1" xfId="1" applyNumberFormat="1" applyFont="1" applyFill="1" applyBorder="1"/>
    <xf numFmtId="0" fontId="0" fillId="5" borderId="9" xfId="0" applyFill="1" applyBorder="1"/>
    <xf numFmtId="0" fontId="4" fillId="5" borderId="0" xfId="0" applyFont="1" applyFill="1"/>
    <xf numFmtId="164" fontId="0" fillId="0" borderId="0" xfId="1" applyNumberFormat="1" applyFont="1" applyBorder="1"/>
    <xf numFmtId="164" fontId="2" fillId="3" borderId="6" xfId="1" applyNumberFormat="1" applyFont="1" applyFill="1" applyBorder="1"/>
    <xf numFmtId="164" fontId="1" fillId="5" borderId="0" xfId="1" applyNumberFormat="1" applyFont="1" applyFill="1" applyBorder="1"/>
    <xf numFmtId="164" fontId="2" fillId="2" borderId="10" xfId="1" applyNumberFormat="1" applyFont="1" applyFill="1" applyBorder="1" applyAlignment="1">
      <alignment horizontal="center"/>
    </xf>
    <xf numFmtId="164" fontId="2" fillId="2" borderId="11" xfId="1" applyNumberFormat="1" applyFont="1" applyFill="1" applyBorder="1" applyAlignment="1">
      <alignment horizontal="center"/>
    </xf>
    <xf numFmtId="164" fontId="1" fillId="5" borderId="12" xfId="1" applyNumberFormat="1" applyFont="1" applyFill="1" applyBorder="1"/>
    <xf numFmtId="10" fontId="0" fillId="0" borderId="0" xfId="6" applyNumberFormat="1" applyFont="1" applyFill="1" applyBorder="1"/>
    <xf numFmtId="10" fontId="2" fillId="0" borderId="0" xfId="6" applyNumberFormat="1" applyFont="1" applyFill="1" applyBorder="1"/>
    <xf numFmtId="10" fontId="2" fillId="0" borderId="1" xfId="6" applyNumberFormat="1" applyFont="1" applyFill="1" applyBorder="1"/>
    <xf numFmtId="10" fontId="10" fillId="0" borderId="0" xfId="6" applyNumberFormat="1" applyFont="1" applyFill="1" applyBorder="1"/>
    <xf numFmtId="0" fontId="4" fillId="0" borderId="9" xfId="0" applyFont="1" applyBorder="1"/>
    <xf numFmtId="164" fontId="1" fillId="0" borderId="0" xfId="1" applyNumberFormat="1" applyFont="1" applyFill="1" applyBorder="1"/>
    <xf numFmtId="0" fontId="1" fillId="7" borderId="0" xfId="5" applyFill="1"/>
    <xf numFmtId="0" fontId="2" fillId="8" borderId="2" xfId="5" applyFont="1" applyFill="1" applyBorder="1"/>
    <xf numFmtId="0" fontId="2" fillId="8" borderId="3" xfId="5" applyFont="1" applyFill="1" applyBorder="1"/>
    <xf numFmtId="43" fontId="2" fillId="8" borderId="3" xfId="5" applyNumberFormat="1" applyFont="1" applyFill="1" applyBorder="1" applyAlignment="1">
      <alignment horizontal="center"/>
    </xf>
    <xf numFmtId="43" fontId="2" fillId="8" borderId="10" xfId="5" applyNumberFormat="1" applyFont="1" applyFill="1" applyBorder="1" applyAlignment="1">
      <alignment horizontal="center"/>
    </xf>
    <xf numFmtId="0" fontId="6" fillId="7" borderId="0" xfId="5" applyFont="1" applyFill="1"/>
    <xf numFmtId="0" fontId="2" fillId="7" borderId="0" xfId="5" applyFont="1" applyFill="1"/>
    <xf numFmtId="0" fontId="2" fillId="8" borderId="4" xfId="5" applyFont="1" applyFill="1" applyBorder="1"/>
    <xf numFmtId="0" fontId="2" fillId="8" borderId="1" xfId="5" applyFont="1" applyFill="1" applyBorder="1"/>
    <xf numFmtId="43" fontId="2" fillId="8" borderId="1" xfId="5" applyNumberFormat="1" applyFont="1" applyFill="1" applyBorder="1" applyAlignment="1">
      <alignment horizontal="center"/>
    </xf>
    <xf numFmtId="43" fontId="2" fillId="8" borderId="11" xfId="5" applyNumberFormat="1" applyFont="1" applyFill="1" applyBorder="1" applyAlignment="1">
      <alignment horizontal="center"/>
    </xf>
    <xf numFmtId="0" fontId="1" fillId="0" borderId="9" xfId="5" applyBorder="1"/>
    <xf numFmtId="0" fontId="1" fillId="0" borderId="0" xfId="5"/>
    <xf numFmtId="164" fontId="1" fillId="0" borderId="0" xfId="5" applyNumberFormat="1"/>
    <xf numFmtId="43" fontId="1" fillId="0" borderId="12" xfId="5" applyNumberFormat="1" applyBorder="1"/>
    <xf numFmtId="164" fontId="1" fillId="7" borderId="0" xfId="5" applyNumberFormat="1" applyFill="1"/>
    <xf numFmtId="0" fontId="2" fillId="0" borderId="9" xfId="5" applyFont="1" applyBorder="1" applyAlignment="1">
      <alignment horizontal="left"/>
    </xf>
    <xf numFmtId="0" fontId="2" fillId="0" borderId="0" xfId="5" applyFont="1"/>
    <xf numFmtId="164" fontId="2" fillId="0" borderId="0" xfId="5" applyNumberFormat="1" applyFont="1"/>
    <xf numFmtId="43" fontId="2" fillId="0" borderId="12" xfId="5" applyNumberFormat="1" applyFont="1" applyBorder="1"/>
    <xf numFmtId="164" fontId="2" fillId="7" borderId="0" xfId="5" applyNumberFormat="1" applyFont="1" applyFill="1"/>
    <xf numFmtId="0" fontId="2" fillId="6" borderId="7" xfId="5" applyFont="1" applyFill="1" applyBorder="1"/>
    <xf numFmtId="0" fontId="2" fillId="6" borderId="8" xfId="5" applyFont="1" applyFill="1" applyBorder="1"/>
    <xf numFmtId="164" fontId="2" fillId="6" borderId="8" xfId="5" applyNumberFormat="1" applyFont="1" applyFill="1" applyBorder="1"/>
    <xf numFmtId="0" fontId="2" fillId="4" borderId="1" xfId="5" applyFont="1" applyFill="1" applyBorder="1"/>
    <xf numFmtId="0" fontId="2" fillId="0" borderId="9" xfId="5" applyFont="1" applyBorder="1"/>
    <xf numFmtId="0" fontId="5" fillId="0" borderId="0" xfId="5" applyFont="1"/>
    <xf numFmtId="164" fontId="10" fillId="0" borderId="0" xfId="5" applyNumberFormat="1" applyFont="1"/>
    <xf numFmtId="43" fontId="11" fillId="0" borderId="12" xfId="5" applyNumberFormat="1" applyFont="1" applyBorder="1"/>
    <xf numFmtId="4" fontId="1" fillId="0" borderId="0" xfId="5" applyNumberFormat="1"/>
    <xf numFmtId="3" fontId="1" fillId="7" borderId="0" xfId="5" applyNumberFormat="1" applyFill="1"/>
    <xf numFmtId="164" fontId="4" fillId="0" borderId="0" xfId="1" applyNumberFormat="1" applyFont="1" applyFill="1" applyBorder="1" applyAlignment="1">
      <alignment horizontal="center"/>
    </xf>
    <xf numFmtId="164" fontId="0" fillId="0" borderId="0" xfId="1" applyNumberFormat="1" applyFont="1" applyFill="1" applyBorder="1"/>
    <xf numFmtId="0" fontId="1" fillId="0" borderId="0" xfId="0" applyFont="1"/>
    <xf numFmtId="164" fontId="0" fillId="0" borderId="12" xfId="1" applyNumberFormat="1" applyFont="1" applyFill="1" applyBorder="1"/>
    <xf numFmtId="0" fontId="1" fillId="0" borderId="9" xfId="0" applyFont="1" applyBorder="1"/>
    <xf numFmtId="0" fontId="2" fillId="4" borderId="11" xfId="5" applyFont="1" applyFill="1" applyBorder="1" applyAlignment="1">
      <alignment horizontal="right"/>
    </xf>
    <xf numFmtId="164" fontId="2" fillId="2" borderId="3" xfId="1" applyNumberFormat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8" fillId="4" borderId="7" xfId="0" applyFont="1" applyFill="1" applyBorder="1" applyAlignment="1">
      <alignment vertical="center"/>
    </xf>
    <xf numFmtId="0" fontId="8" fillId="4" borderId="8" xfId="0" applyFont="1" applyFill="1" applyBorder="1" applyAlignment="1">
      <alignment vertical="center"/>
    </xf>
    <xf numFmtId="164" fontId="8" fillId="4" borderId="8" xfId="1" applyNumberFormat="1" applyFont="1" applyFill="1" applyBorder="1" applyAlignment="1">
      <alignment vertical="center"/>
    </xf>
    <xf numFmtId="43" fontId="8" fillId="3" borderId="10" xfId="1" applyFont="1" applyFill="1" applyBorder="1"/>
    <xf numFmtId="43" fontId="8" fillId="3" borderId="11" xfId="1" applyFont="1" applyFill="1" applyBorder="1"/>
    <xf numFmtId="0" fontId="2" fillId="9" borderId="1" xfId="5" applyFont="1" applyFill="1" applyBorder="1"/>
    <xf numFmtId="0" fontId="0" fillId="0" borderId="9" xfId="0" applyBorder="1"/>
    <xf numFmtId="44" fontId="0" fillId="0" borderId="0" xfId="0" applyNumberFormat="1" applyAlignment="1">
      <alignment horizontal="center"/>
    </xf>
    <xf numFmtId="44" fontId="0" fillId="0" borderId="0" xfId="3" applyFont="1" applyAlignment="1">
      <alignment horizontal="center"/>
    </xf>
    <xf numFmtId="44" fontId="0" fillId="0" borderId="0" xfId="3" applyFont="1"/>
    <xf numFmtId="44" fontId="0" fillId="0" borderId="0" xfId="0" applyNumberFormat="1"/>
    <xf numFmtId="164" fontId="0" fillId="0" borderId="0" xfId="0" applyNumberFormat="1"/>
    <xf numFmtId="164" fontId="8" fillId="0" borderId="0" xfId="0" applyNumberFormat="1" applyFont="1"/>
    <xf numFmtId="1" fontId="0" fillId="0" borderId="9" xfId="0" applyNumberFormat="1" applyBorder="1"/>
    <xf numFmtId="41" fontId="2" fillId="0" borderId="0" xfId="0" applyNumberFormat="1" applyFont="1" applyAlignment="1">
      <alignment horizontal="center"/>
    </xf>
    <xf numFmtId="10" fontId="2" fillId="0" borderId="0" xfId="0" applyNumberFormat="1" applyFont="1"/>
    <xf numFmtId="43" fontId="0" fillId="0" borderId="0" xfId="1" applyFont="1" applyFill="1" applyBorder="1"/>
    <xf numFmtId="43" fontId="2" fillId="6" borderId="13" xfId="5" applyNumberFormat="1" applyFont="1" applyFill="1" applyBorder="1" applyAlignment="1">
      <alignment horizontal="right"/>
    </xf>
    <xf numFmtId="43" fontId="1" fillId="0" borderId="0" xfId="1" applyFont="1" applyFill="1" applyBorder="1"/>
    <xf numFmtId="43" fontId="1" fillId="0" borderId="0" xfId="5" applyNumberFormat="1"/>
    <xf numFmtId="10" fontId="1" fillId="0" borderId="0" xfId="6" applyNumberFormat="1" applyFont="1" applyFill="1" applyBorder="1"/>
    <xf numFmtId="43" fontId="2" fillId="0" borderId="12" xfId="1" applyFont="1" applyFill="1" applyBorder="1"/>
    <xf numFmtId="43" fontId="1" fillId="0" borderId="12" xfId="1" applyFont="1" applyFill="1" applyBorder="1"/>
    <xf numFmtId="165" fontId="1" fillId="0" borderId="12" xfId="5" applyNumberFormat="1" applyBorder="1"/>
    <xf numFmtId="0" fontId="2" fillId="9" borderId="13" xfId="5" applyFont="1" applyFill="1" applyBorder="1"/>
    <xf numFmtId="164" fontId="2" fillId="0" borderId="0" xfId="0" applyNumberFormat="1" applyFont="1"/>
    <xf numFmtId="0" fontId="2" fillId="0" borderId="0" xfId="0" applyFont="1" applyAlignment="1">
      <alignment horizontal="center"/>
    </xf>
    <xf numFmtId="0" fontId="8" fillId="10" borderId="3" xfId="0" applyFont="1" applyFill="1" applyBorder="1" applyAlignment="1">
      <alignment vertical="center"/>
    </xf>
    <xf numFmtId="0" fontId="8" fillId="10" borderId="0" xfId="0" applyFont="1" applyFill="1" applyAlignment="1">
      <alignment vertical="center"/>
    </xf>
    <xf numFmtId="0" fontId="8" fillId="4" borderId="2" xfId="0" applyFont="1" applyFill="1" applyBorder="1" applyAlignment="1">
      <alignment vertical="center"/>
    </xf>
    <xf numFmtId="0" fontId="8" fillId="4" borderId="3" xfId="0" applyFont="1" applyFill="1" applyBorder="1" applyAlignment="1">
      <alignment vertical="center"/>
    </xf>
    <xf numFmtId="164" fontId="8" fillId="4" borderId="3" xfId="1" applyNumberFormat="1" applyFont="1" applyFill="1" applyBorder="1" applyAlignment="1">
      <alignment vertical="center"/>
    </xf>
    <xf numFmtId="164" fontId="8" fillId="4" borderId="10" xfId="1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164" fontId="8" fillId="4" borderId="1" xfId="1" applyNumberFormat="1" applyFont="1" applyFill="1" applyBorder="1" applyAlignment="1">
      <alignment vertical="center"/>
    </xf>
    <xf numFmtId="43" fontId="8" fillId="4" borderId="11" xfId="1" applyFont="1" applyFill="1" applyBorder="1" applyAlignment="1">
      <alignment vertical="center"/>
    </xf>
    <xf numFmtId="43" fontId="8" fillId="4" borderId="13" xfId="1" applyFont="1" applyFill="1" applyBorder="1" applyAlignment="1">
      <alignment vertical="center"/>
    </xf>
    <xf numFmtId="0" fontId="8" fillId="12" borderId="8" xfId="0" applyFont="1" applyFill="1" applyBorder="1" applyAlignment="1">
      <alignment vertical="center"/>
    </xf>
    <xf numFmtId="164" fontId="8" fillId="12" borderId="8" xfId="1" applyNumberFormat="1" applyFont="1" applyFill="1" applyBorder="1" applyAlignment="1">
      <alignment vertical="center"/>
    </xf>
    <xf numFmtId="43" fontId="8" fillId="12" borderId="8" xfId="1" applyFont="1" applyFill="1" applyBorder="1" applyAlignment="1">
      <alignment vertical="center"/>
    </xf>
    <xf numFmtId="0" fontId="8" fillId="11" borderId="7" xfId="0" applyFont="1" applyFill="1" applyBorder="1"/>
    <xf numFmtId="0" fontId="8" fillId="11" borderId="8" xfId="0" applyFont="1" applyFill="1" applyBorder="1"/>
    <xf numFmtId="164" fontId="8" fillId="11" borderId="8" xfId="1" applyNumberFormat="1" applyFont="1" applyFill="1" applyBorder="1"/>
    <xf numFmtId="43" fontId="8" fillId="11" borderId="13" xfId="1" applyFont="1" applyFill="1" applyBorder="1"/>
    <xf numFmtId="43" fontId="1" fillId="0" borderId="0" xfId="1" applyFill="1"/>
    <xf numFmtId="43" fontId="1" fillId="0" borderId="14" xfId="1" applyFill="1" applyBorder="1"/>
    <xf numFmtId="0" fontId="1" fillId="0" borderId="9" xfId="5" quotePrefix="1" applyBorder="1"/>
    <xf numFmtId="0" fontId="2" fillId="8" borderId="1" xfId="5" applyFont="1" applyFill="1" applyBorder="1" applyAlignment="1">
      <alignment horizontal="center"/>
    </xf>
    <xf numFmtId="0" fontId="2" fillId="8" borderId="3" xfId="5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1" fontId="1" fillId="0" borderId="0" xfId="5" applyNumberFormat="1"/>
    <xf numFmtId="41" fontId="2" fillId="0" borderId="0" xfId="5" applyNumberFormat="1" applyFont="1"/>
    <xf numFmtId="41" fontId="2" fillId="0" borderId="0" xfId="1" applyNumberFormat="1" applyFont="1" applyFill="1" applyBorder="1"/>
    <xf numFmtId="164" fontId="4" fillId="0" borderId="0" xfId="0" applyNumberFormat="1" applyFont="1"/>
    <xf numFmtId="0" fontId="15" fillId="0" borderId="0" xfId="0" applyFont="1"/>
    <xf numFmtId="10" fontId="2" fillId="6" borderId="8" xfId="5" applyNumberFormat="1" applyFont="1" applyFill="1" applyBorder="1"/>
    <xf numFmtId="39" fontId="2" fillId="6" borderId="8" xfId="5" applyNumberFormat="1" applyFont="1" applyFill="1" applyBorder="1"/>
    <xf numFmtId="0" fontId="7" fillId="0" borderId="0" xfId="0" applyFont="1" applyAlignment="1">
      <alignment horizontal="center"/>
    </xf>
    <xf numFmtId="43" fontId="2" fillId="0" borderId="0" xfId="1" applyFont="1" applyFill="1" applyBorder="1"/>
    <xf numFmtId="10" fontId="8" fillId="3" borderId="3" xfId="1" applyNumberFormat="1" applyFont="1" applyFill="1" applyBorder="1"/>
    <xf numFmtId="10" fontId="8" fillId="3" borderId="1" xfId="1" applyNumberFormat="1" applyFont="1" applyFill="1" applyBorder="1"/>
    <xf numFmtId="10" fontId="8" fillId="11" borderId="8" xfId="1" applyNumberFormat="1" applyFont="1" applyFill="1" applyBorder="1"/>
    <xf numFmtId="10" fontId="0" fillId="0" borderId="0" xfId="1" applyNumberFormat="1" applyFont="1" applyBorder="1"/>
    <xf numFmtId="10" fontId="8" fillId="4" borderId="3" xfId="1" applyNumberFormat="1" applyFont="1" applyFill="1" applyBorder="1" applyAlignment="1">
      <alignment vertical="center"/>
    </xf>
    <xf numFmtId="10" fontId="8" fillId="4" borderId="1" xfId="1" applyNumberFormat="1" applyFont="1" applyFill="1" applyBorder="1" applyAlignment="1">
      <alignment vertical="center"/>
    </xf>
    <xf numFmtId="10" fontId="8" fillId="4" borderId="8" xfId="1" applyNumberFormat="1" applyFont="1" applyFill="1" applyBorder="1" applyAlignment="1">
      <alignment vertical="center"/>
    </xf>
    <xf numFmtId="10" fontId="8" fillId="12" borderId="8" xfId="1" applyNumberFormat="1" applyFont="1" applyFill="1" applyBorder="1" applyAlignment="1">
      <alignment vertical="center"/>
    </xf>
    <xf numFmtId="10" fontId="1" fillId="7" borderId="0" xfId="5" applyNumberFormat="1" applyFill="1"/>
    <xf numFmtId="41" fontId="0" fillId="0" borderId="0" xfId="0" applyNumberFormat="1"/>
    <xf numFmtId="41" fontId="0" fillId="0" borderId="14" xfId="0" applyNumberFormat="1" applyBorder="1"/>
    <xf numFmtId="0" fontId="0" fillId="0" borderId="0" xfId="0" applyAlignment="1">
      <alignment horizontal="left"/>
    </xf>
    <xf numFmtId="43" fontId="8" fillId="13" borderId="13" xfId="1" applyFont="1" applyFill="1" applyBorder="1" applyAlignment="1">
      <alignment vertical="center"/>
    </xf>
    <xf numFmtId="164" fontId="10" fillId="0" borderId="3" xfId="5" applyNumberFormat="1" applyFont="1" applyBorder="1"/>
    <xf numFmtId="164" fontId="14" fillId="0" borderId="3" xfId="5" applyNumberFormat="1" applyFont="1" applyBorder="1" applyAlignment="1">
      <alignment horizontal="center"/>
    </xf>
    <xf numFmtId="43" fontId="2" fillId="8" borderId="0" xfId="5" applyNumberFormat="1" applyFont="1" applyFill="1" applyAlignment="1">
      <alignment horizontal="center"/>
    </xf>
    <xf numFmtId="164" fontId="0" fillId="0" borderId="15" xfId="0" applyNumberFormat="1" applyBorder="1"/>
    <xf numFmtId="10" fontId="0" fillId="0" borderId="15" xfId="0" applyNumberFormat="1" applyBorder="1"/>
    <xf numFmtId="0" fontId="16" fillId="14" borderId="16" xfId="0" applyFont="1" applyFill="1" applyBorder="1" applyAlignment="1">
      <alignment horizontal="center"/>
    </xf>
    <xf numFmtId="164" fontId="1" fillId="0" borderId="0" xfId="0" applyNumberFormat="1" applyFont="1"/>
    <xf numFmtId="164" fontId="1" fillId="0" borderId="0" xfId="1" applyNumberFormat="1" applyFont="1" applyBorder="1"/>
    <xf numFmtId="164" fontId="7" fillId="0" borderId="0" xfId="1" applyNumberFormat="1" applyFont="1" applyBorder="1"/>
    <xf numFmtId="164" fontId="2" fillId="4" borderId="1" xfId="1" applyNumberFormat="1" applyFont="1" applyFill="1" applyBorder="1" applyAlignment="1">
      <alignment vertical="center"/>
    </xf>
    <xf numFmtId="10" fontId="2" fillId="4" borderId="1" xfId="1" applyNumberFormat="1" applyFont="1" applyFill="1" applyBorder="1" applyAlignment="1">
      <alignment vertical="center"/>
    </xf>
    <xf numFmtId="43" fontId="2" fillId="4" borderId="11" xfId="1" applyFont="1" applyFill="1" applyBorder="1" applyAlignment="1">
      <alignment vertical="center"/>
    </xf>
    <xf numFmtId="164" fontId="1" fillId="0" borderId="0" xfId="1" applyNumberFormat="1" applyFill="1"/>
    <xf numFmtId="164" fontId="1" fillId="0" borderId="14" xfId="1" applyNumberFormat="1" applyFill="1" applyBorder="1"/>
    <xf numFmtId="0" fontId="2" fillId="4" borderId="4" xfId="5" applyFont="1" applyFill="1" applyBorder="1"/>
    <xf numFmtId="0" fontId="2" fillId="9" borderId="4" xfId="5" applyFont="1" applyFill="1" applyBorder="1"/>
    <xf numFmtId="0" fontId="8" fillId="9" borderId="2" xfId="0" applyFont="1" applyFill="1" applyBorder="1" applyAlignment="1">
      <alignment vertical="center"/>
    </xf>
    <xf numFmtId="0" fontId="8" fillId="9" borderId="9" xfId="0" applyFont="1" applyFill="1" applyBorder="1" applyAlignment="1">
      <alignment vertical="center"/>
    </xf>
    <xf numFmtId="0" fontId="8" fillId="9" borderId="7" xfId="0" applyFont="1" applyFill="1" applyBorder="1" applyAlignment="1">
      <alignment vertical="center"/>
    </xf>
    <xf numFmtId="164" fontId="7" fillId="0" borderId="0" xfId="1" applyNumberFormat="1" applyFont="1" applyFill="1" applyBorder="1"/>
    <xf numFmtId="43" fontId="0" fillId="0" borderId="0" xfId="1" applyFont="1"/>
    <xf numFmtId="0" fontId="2" fillId="5" borderId="0" xfId="5" applyFont="1" applyFill="1"/>
    <xf numFmtId="43" fontId="0" fillId="0" borderId="0" xfId="1" applyFont="1" applyFill="1"/>
    <xf numFmtId="164" fontId="2" fillId="9" borderId="1" xfId="1" applyNumberFormat="1" applyFont="1" applyFill="1" applyBorder="1" applyAlignment="1">
      <alignment vertical="center"/>
    </xf>
    <xf numFmtId="10" fontId="2" fillId="9" borderId="1" xfId="1" applyNumberFormat="1" applyFont="1" applyFill="1" applyBorder="1" applyAlignment="1">
      <alignment vertical="center"/>
    </xf>
    <xf numFmtId="43" fontId="2" fillId="9" borderId="11" xfId="1" applyFont="1" applyFill="1" applyBorder="1" applyAlignment="1">
      <alignment vertical="center"/>
    </xf>
    <xf numFmtId="164" fontId="8" fillId="9" borderId="3" xfId="1" applyNumberFormat="1" applyFont="1" applyFill="1" applyBorder="1" applyAlignment="1">
      <alignment vertical="center"/>
    </xf>
    <xf numFmtId="164" fontId="8" fillId="9" borderId="10" xfId="1" applyNumberFormat="1" applyFont="1" applyFill="1" applyBorder="1" applyAlignment="1">
      <alignment vertical="center"/>
    </xf>
    <xf numFmtId="164" fontId="8" fillId="9" borderId="1" xfId="1" applyNumberFormat="1" applyFont="1" applyFill="1" applyBorder="1" applyAlignment="1">
      <alignment vertical="center"/>
    </xf>
    <xf numFmtId="43" fontId="8" fillId="9" borderId="11" xfId="1" applyFont="1" applyFill="1" applyBorder="1" applyAlignment="1">
      <alignment vertical="center"/>
    </xf>
    <xf numFmtId="0" fontId="8" fillId="9" borderId="3" xfId="0" applyFont="1" applyFill="1" applyBorder="1" applyAlignment="1">
      <alignment vertical="center"/>
    </xf>
    <xf numFmtId="10" fontId="8" fillId="9" borderId="3" xfId="1" applyNumberFormat="1" applyFont="1" applyFill="1" applyBorder="1" applyAlignment="1">
      <alignment vertical="center"/>
    </xf>
    <xf numFmtId="0" fontId="8" fillId="9" borderId="0" xfId="0" applyFont="1" applyFill="1" applyAlignment="1">
      <alignment vertical="center"/>
    </xf>
    <xf numFmtId="10" fontId="8" fillId="9" borderId="1" xfId="1" applyNumberFormat="1" applyFont="1" applyFill="1" applyBorder="1" applyAlignment="1">
      <alignment vertical="center"/>
    </xf>
    <xf numFmtId="43" fontId="0" fillId="15" borderId="0" xfId="1" applyFont="1" applyFill="1"/>
    <xf numFmtId="43" fontId="1" fillId="15" borderId="0" xfId="1" applyFont="1" applyFill="1"/>
    <xf numFmtId="164" fontId="1" fillId="15" borderId="0" xfId="1" applyNumberFormat="1" applyFont="1" applyFill="1" applyBorder="1"/>
    <xf numFmtId="43" fontId="0" fillId="16" borderId="0" xfId="1" applyFont="1" applyFill="1"/>
    <xf numFmtId="164" fontId="0" fillId="0" borderId="0" xfId="1" applyNumberFormat="1" applyFont="1" applyFill="1"/>
    <xf numFmtId="164" fontId="0" fillId="16" borderId="0" xfId="1" applyNumberFormat="1" applyFont="1" applyFill="1"/>
    <xf numFmtId="164" fontId="7" fillId="15" borderId="0" xfId="0" applyNumberFormat="1" applyFont="1" applyFill="1"/>
    <xf numFmtId="43" fontId="7" fillId="15" borderId="0" xfId="1" applyFont="1" applyFill="1" applyBorder="1"/>
    <xf numFmtId="164" fontId="7" fillId="15" borderId="0" xfId="1" applyNumberFormat="1" applyFont="1" applyFill="1" applyBorder="1"/>
    <xf numFmtId="164" fontId="1" fillId="15" borderId="0" xfId="1" applyNumberFormat="1" applyFont="1" applyFill="1"/>
    <xf numFmtId="164" fontId="0" fillId="15" borderId="0" xfId="1" applyNumberFormat="1" applyFont="1" applyFill="1"/>
    <xf numFmtId="164" fontId="2" fillId="2" borderId="3" xfId="1" applyNumberFormat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</cellXfs>
  <cellStyles count="7">
    <cellStyle name="Comma" xfId="1" builtinId="3"/>
    <cellStyle name="Comma 2" xfId="2" xr:uid="{00000000-0005-0000-0000-000001000000}"/>
    <cellStyle name="Currency" xfId="3" builtinId="4"/>
    <cellStyle name="Currency 2" xfId="4" xr:uid="{00000000-0005-0000-0000-000003000000}"/>
    <cellStyle name="Normal" xfId="0" builtinId="0"/>
    <cellStyle name="Normal 2" xfId="5" xr:uid="{00000000-0005-0000-0000-000005000000}"/>
    <cellStyle name="Percent" xfId="6" builtinId="5"/>
  </cellStyles>
  <dxfs count="6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6"/>
  <sheetViews>
    <sheetView topLeftCell="A10" zoomScaleNormal="100" workbookViewId="0">
      <selection activeCell="C44" sqref="C44"/>
    </sheetView>
  </sheetViews>
  <sheetFormatPr defaultRowHeight="12.75" x14ac:dyDescent="0.2"/>
  <cols>
    <col min="1" max="1" width="15.7109375" customWidth="1"/>
    <col min="3" max="3" width="15.85546875" style="89" bestFit="1" customWidth="1"/>
    <col min="5" max="5" width="10" bestFit="1" customWidth="1"/>
    <col min="7" max="8" width="10.28515625" bestFit="1" customWidth="1"/>
  </cols>
  <sheetData>
    <row r="1" spans="1:8" x14ac:dyDescent="0.2">
      <c r="C1" s="86" t="s">
        <v>31</v>
      </c>
      <c r="E1" s="3" t="s">
        <v>35</v>
      </c>
    </row>
    <row r="2" spans="1:8" x14ac:dyDescent="0.2">
      <c r="A2" s="3" t="s">
        <v>30</v>
      </c>
      <c r="C2" s="86" t="s">
        <v>32</v>
      </c>
      <c r="E2" s="3" t="s">
        <v>11</v>
      </c>
    </row>
    <row r="3" spans="1:8" x14ac:dyDescent="0.2">
      <c r="A3" s="3"/>
      <c r="C3" s="86"/>
      <c r="F3">
        <v>1990</v>
      </c>
      <c r="G3" t="s">
        <v>33</v>
      </c>
      <c r="H3" s="1">
        <v>55258</v>
      </c>
    </row>
    <row r="4" spans="1:8" x14ac:dyDescent="0.2">
      <c r="A4" s="3">
        <v>1995</v>
      </c>
      <c r="C4" s="87">
        <v>123986.25</v>
      </c>
    </row>
    <row r="5" spans="1:8" x14ac:dyDescent="0.2">
      <c r="A5" s="3"/>
      <c r="C5" s="86"/>
    </row>
    <row r="6" spans="1:8" x14ac:dyDescent="0.2">
      <c r="A6" s="3">
        <v>1996</v>
      </c>
      <c r="C6" s="87">
        <v>132871.54999999999</v>
      </c>
      <c r="D6" s="2">
        <f>+(C6-C4)/C4</f>
        <v>7.1663591728921464E-2</v>
      </c>
      <c r="E6" s="4">
        <f>+D4+D6</f>
        <v>7.1663591728921464E-2</v>
      </c>
    </row>
    <row r="7" spans="1:8" x14ac:dyDescent="0.2">
      <c r="A7" s="3"/>
      <c r="C7" s="86"/>
    </row>
    <row r="8" spans="1:8" x14ac:dyDescent="0.2">
      <c r="A8" s="3">
        <v>1997</v>
      </c>
      <c r="C8" s="87">
        <v>136951.23000000001</v>
      </c>
      <c r="D8" s="2">
        <f>+(C8-C6)/C6</f>
        <v>3.0703939255619601E-2</v>
      </c>
      <c r="E8" s="4">
        <f>+D6+D8</f>
        <v>0.10236753098454107</v>
      </c>
      <c r="F8">
        <v>1997</v>
      </c>
      <c r="G8" t="s">
        <v>36</v>
      </c>
      <c r="H8" s="1">
        <v>72237</v>
      </c>
    </row>
    <row r="9" spans="1:8" x14ac:dyDescent="0.2">
      <c r="A9" s="3"/>
      <c r="C9" s="86"/>
    </row>
    <row r="10" spans="1:8" x14ac:dyDescent="0.2">
      <c r="A10" s="3">
        <v>1998</v>
      </c>
      <c r="C10" s="88">
        <v>142065.34</v>
      </c>
      <c r="D10" s="2">
        <f>+(C10-C8)/C8</f>
        <v>3.7342563480444721E-2</v>
      </c>
      <c r="E10" s="4">
        <f>+E8+D10</f>
        <v>0.13971009446498578</v>
      </c>
    </row>
    <row r="12" spans="1:8" x14ac:dyDescent="0.2">
      <c r="A12" s="3">
        <v>1999</v>
      </c>
      <c r="C12" s="88">
        <v>142971.73000000001</v>
      </c>
      <c r="D12" s="2">
        <f>+(C12-C10)/C10</f>
        <v>6.380092427892785E-3</v>
      </c>
      <c r="E12" s="4">
        <f>+E10+D12</f>
        <v>0.14609018689287856</v>
      </c>
    </row>
    <row r="13" spans="1:8" x14ac:dyDescent="0.2">
      <c r="A13" s="3"/>
      <c r="C13" s="88"/>
      <c r="D13" s="2"/>
    </row>
    <row r="14" spans="1:8" x14ac:dyDescent="0.2">
      <c r="A14" s="3">
        <v>2000</v>
      </c>
      <c r="C14" s="88">
        <v>136131.10999999999</v>
      </c>
      <c r="D14" s="2">
        <f>+(C14-C12)/C12</f>
        <v>-4.7845962275199605E-2</v>
      </c>
      <c r="E14" s="4">
        <f>+E12+D14</f>
        <v>9.8244224617678955E-2</v>
      </c>
      <c r="F14" t="s">
        <v>34</v>
      </c>
      <c r="H14" t="s">
        <v>37</v>
      </c>
    </row>
    <row r="15" spans="1:8" x14ac:dyDescent="0.2">
      <c r="A15" s="3"/>
      <c r="C15" s="88"/>
      <c r="D15" s="2"/>
    </row>
    <row r="16" spans="1:8" x14ac:dyDescent="0.2">
      <c r="A16" s="3">
        <v>2001</v>
      </c>
      <c r="C16" s="88">
        <v>129772.14</v>
      </c>
      <c r="D16" s="2">
        <f>+(C16-C14)/C14</f>
        <v>-4.6712099827879071E-2</v>
      </c>
      <c r="E16" s="4">
        <f>+E14+D16</f>
        <v>5.1532124789799884E-2</v>
      </c>
    </row>
    <row r="17" spans="1:6" x14ac:dyDescent="0.2">
      <c r="A17" s="3"/>
      <c r="C17" s="88"/>
      <c r="D17" s="2"/>
    </row>
    <row r="18" spans="1:6" x14ac:dyDescent="0.2">
      <c r="A18" s="3">
        <v>2002</v>
      </c>
      <c r="C18" s="88">
        <v>133584.62</v>
      </c>
      <c r="D18" s="2">
        <f>+(C18-C16)/C16</f>
        <v>2.9378262545412259E-2</v>
      </c>
      <c r="E18" s="4">
        <f>+E16+D18</f>
        <v>8.0910387335212136E-2</v>
      </c>
    </row>
    <row r="19" spans="1:6" x14ac:dyDescent="0.2">
      <c r="A19" s="3"/>
      <c r="C19" s="88"/>
      <c r="D19" s="2"/>
    </row>
    <row r="20" spans="1:6" x14ac:dyDescent="0.2">
      <c r="A20" s="3">
        <v>2003</v>
      </c>
      <c r="C20" s="88">
        <v>141756.68</v>
      </c>
      <c r="D20" s="2">
        <f>+(C20-C18)/C18</f>
        <v>6.1175156241788896E-2</v>
      </c>
      <c r="E20" s="4">
        <f>+E18+D20</f>
        <v>0.14208554357700104</v>
      </c>
    </row>
    <row r="21" spans="1:6" x14ac:dyDescent="0.2">
      <c r="A21" s="3"/>
      <c r="C21" s="88"/>
      <c r="D21" s="2"/>
    </row>
    <row r="22" spans="1:6" x14ac:dyDescent="0.2">
      <c r="A22" s="3">
        <v>2004</v>
      </c>
      <c r="C22" s="88">
        <v>148360.09</v>
      </c>
      <c r="D22" s="2">
        <f>+(C22-C20)/C20</f>
        <v>4.6582707777862768E-2</v>
      </c>
      <c r="E22" s="4">
        <f>+E20+D22</f>
        <v>0.18866825135486381</v>
      </c>
    </row>
    <row r="23" spans="1:6" x14ac:dyDescent="0.2">
      <c r="A23" s="3"/>
      <c r="C23" s="88"/>
      <c r="D23" s="2"/>
    </row>
    <row r="24" spans="1:6" x14ac:dyDescent="0.2">
      <c r="A24" s="3">
        <v>2005</v>
      </c>
      <c r="C24" s="88">
        <v>157165.22</v>
      </c>
      <c r="D24" s="2">
        <f>+(C24-C22)/C22</f>
        <v>5.9349721343523079E-2</v>
      </c>
      <c r="E24" s="4">
        <f>+E22+D24</f>
        <v>0.24801797269838688</v>
      </c>
      <c r="F24" t="s">
        <v>199</v>
      </c>
    </row>
    <row r="25" spans="1:6" x14ac:dyDescent="0.2">
      <c r="A25" s="3"/>
      <c r="C25" s="88"/>
      <c r="D25" s="2"/>
    </row>
    <row r="26" spans="1:6" x14ac:dyDescent="0.2">
      <c r="A26" s="3">
        <v>2006</v>
      </c>
      <c r="C26" s="88">
        <v>166699.84</v>
      </c>
      <c r="D26" s="2">
        <f>+(C26-C24)/C24</f>
        <v>6.0666221190667981E-2</v>
      </c>
      <c r="E26" s="4">
        <f>+E24+D26</f>
        <v>0.30868419388905488</v>
      </c>
    </row>
    <row r="27" spans="1:6" x14ac:dyDescent="0.2">
      <c r="A27" s="3"/>
      <c r="C27" s="88"/>
    </row>
    <row r="28" spans="1:6" x14ac:dyDescent="0.2">
      <c r="A28" s="3">
        <v>2007</v>
      </c>
      <c r="C28" s="88">
        <v>179564.103</v>
      </c>
      <c r="D28" s="2">
        <f>+(C28-C26)/C26</f>
        <v>7.7170218039801397E-2</v>
      </c>
      <c r="E28" s="4">
        <f>+E26+D28</f>
        <v>0.38585441192885628</v>
      </c>
    </row>
    <row r="29" spans="1:6" x14ac:dyDescent="0.2">
      <c r="A29" s="3"/>
      <c r="C29" s="89" t="s">
        <v>40</v>
      </c>
    </row>
    <row r="30" spans="1:6" x14ac:dyDescent="0.2">
      <c r="A30" s="3">
        <v>2008</v>
      </c>
      <c r="C30" s="89">
        <v>199344</v>
      </c>
      <c r="D30" s="2">
        <f>+(C30-C28)/C28</f>
        <v>0.11015507370089442</v>
      </c>
      <c r="E30" s="4">
        <f>+E28+D30</f>
        <v>0.49600948562975067</v>
      </c>
    </row>
    <row r="31" spans="1:6" x14ac:dyDescent="0.2">
      <c r="A31" s="3"/>
    </row>
    <row r="32" spans="1:6" x14ac:dyDescent="0.2">
      <c r="A32" s="3">
        <v>2009</v>
      </c>
      <c r="C32" s="89">
        <v>207470</v>
      </c>
      <c r="D32" s="2">
        <f>+(C32-C30)/C30</f>
        <v>4.0763704952243358E-2</v>
      </c>
      <c r="E32" s="4">
        <f>+E30+D32</f>
        <v>0.53677319058199402</v>
      </c>
    </row>
    <row r="33" spans="1:6" x14ac:dyDescent="0.2">
      <c r="A33" s="3"/>
    </row>
    <row r="34" spans="1:6" x14ac:dyDescent="0.2">
      <c r="A34" s="3">
        <v>2010</v>
      </c>
      <c r="C34" s="89">
        <v>215926</v>
      </c>
      <c r="D34" s="2">
        <f>+(C34-C32)/C32</f>
        <v>4.0757699908420493E-2</v>
      </c>
      <c r="E34" s="4">
        <f>+E32+D34</f>
        <v>0.57753089049041451</v>
      </c>
      <c r="F34" t="s">
        <v>198</v>
      </c>
    </row>
    <row r="35" spans="1:6" x14ac:dyDescent="0.2">
      <c r="A35" s="3"/>
    </row>
    <row r="36" spans="1:6" x14ac:dyDescent="0.2">
      <c r="A36" s="3">
        <v>2011</v>
      </c>
      <c r="C36" s="89">
        <v>222786</v>
      </c>
      <c r="D36" s="2">
        <f>+(C36-C34)/C34</f>
        <v>3.1770143475079428E-2</v>
      </c>
      <c r="E36" s="4">
        <f>+E34+D36</f>
        <v>0.60930103396549395</v>
      </c>
    </row>
    <row r="37" spans="1:6" x14ac:dyDescent="0.2">
      <c r="A37" s="3"/>
    </row>
    <row r="38" spans="1:6" x14ac:dyDescent="0.2">
      <c r="A38" s="3">
        <v>2012</v>
      </c>
      <c r="C38" s="89">
        <v>229890.28</v>
      </c>
      <c r="D38" s="2">
        <f>+(C38-C36)/C36</f>
        <v>3.1888359232626819E-2</v>
      </c>
      <c r="E38" s="4">
        <f>+E36+D38</f>
        <v>0.64118939319812074</v>
      </c>
    </row>
    <row r="40" spans="1:6" x14ac:dyDescent="0.2">
      <c r="A40" s="3">
        <v>2013</v>
      </c>
      <c r="C40" s="89">
        <v>234977</v>
      </c>
      <c r="D40" s="2">
        <f>+(C40-C38)/C38</f>
        <v>2.21267293249632E-2</v>
      </c>
      <c r="E40" s="4">
        <f>+E38+D40</f>
        <v>0.66331612252308392</v>
      </c>
    </row>
    <row r="42" spans="1:6" x14ac:dyDescent="0.2">
      <c r="A42" s="3">
        <v>2014</v>
      </c>
      <c r="C42" s="89">
        <v>241807</v>
      </c>
      <c r="D42" s="2">
        <f>+(C42-C40)/C40</f>
        <v>2.906667461070658E-2</v>
      </c>
      <c r="E42" s="4">
        <f>+E40+D42</f>
        <v>0.69238279713379047</v>
      </c>
    </row>
    <row r="44" spans="1:6" x14ac:dyDescent="0.2">
      <c r="A44" s="3">
        <v>2015</v>
      </c>
      <c r="C44" s="89">
        <v>246736</v>
      </c>
      <c r="D44" s="2">
        <f>+(C44-C42)/C42</f>
        <v>2.0384025276356764E-2</v>
      </c>
      <c r="E44" s="4">
        <f>+E42+D44</f>
        <v>0.71276682241014722</v>
      </c>
    </row>
    <row r="46" spans="1:6" x14ac:dyDescent="0.2">
      <c r="A46" s="3">
        <v>2016</v>
      </c>
      <c r="C46" s="89">
        <v>222339</v>
      </c>
      <c r="D46" s="2">
        <f>+(C46-C44)/C44</f>
        <v>-9.887896375072952E-2</v>
      </c>
      <c r="E46" s="4">
        <f>+E44+D46</f>
        <v>0.61388785865941764</v>
      </c>
    </row>
  </sheetData>
  <phoneticPr fontId="3" type="noConversion"/>
  <printOptions horizontalCentered="1" verticalCentered="1" gridLines="1"/>
  <pageMargins left="0.25" right="0.25" top="0.75" bottom="0.5" header="0.5" footer="0.5"/>
  <pageSetup orientation="landscape" r:id="rId1"/>
  <headerFooter alignWithMargins="0">
    <oddHeader xml:space="preserve">&amp;CWhere is the Growth?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3"/>
    <pageSetUpPr fitToPage="1"/>
  </sheetPr>
  <dimension ref="A1:XFA91"/>
  <sheetViews>
    <sheetView tabSelected="1" view="pageLayout" zoomScale="90" zoomScaleNormal="100" zoomScalePageLayoutView="90" workbookViewId="0">
      <selection activeCell="B2" sqref="B2"/>
    </sheetView>
  </sheetViews>
  <sheetFormatPr defaultColWidth="9.140625" defaultRowHeight="12.75" x14ac:dyDescent="0.2"/>
  <cols>
    <col min="1" max="1" width="3" customWidth="1"/>
    <col min="2" max="2" width="10.28515625" customWidth="1"/>
    <col min="3" max="3" width="24.140625" customWidth="1"/>
    <col min="4" max="5" width="23.5703125" customWidth="1"/>
    <col min="6" max="6" width="19" customWidth="1"/>
    <col min="7" max="7" width="18.42578125" customWidth="1"/>
    <col min="8" max="8" width="18.85546875" customWidth="1"/>
    <col min="9" max="9" width="21.5703125" customWidth="1"/>
    <col min="10" max="11" width="19" customWidth="1"/>
    <col min="12" max="12" width="17.85546875" customWidth="1"/>
    <col min="13" max="13" width="15.7109375" customWidth="1"/>
    <col min="14" max="14" width="17" customWidth="1"/>
    <col min="15" max="15" width="17.5703125" customWidth="1"/>
    <col min="16" max="17" width="17.28515625" customWidth="1"/>
    <col min="18" max="18" width="14.140625" customWidth="1"/>
    <col min="19" max="20" width="14.140625" hidden="1" customWidth="1"/>
    <col min="21" max="21" width="2.85546875" customWidth="1"/>
    <col min="22" max="22" width="11.28515625" hidden="1" customWidth="1"/>
    <col min="23" max="23" width="12.42578125" hidden="1" customWidth="1"/>
    <col min="24" max="24" width="10.85546875" hidden="1" customWidth="1"/>
    <col min="25" max="25" width="13" hidden="1" customWidth="1"/>
    <col min="26" max="26" width="9.140625" hidden="1" customWidth="1"/>
    <col min="27" max="27" width="24.28515625" style="173" bestFit="1" customWidth="1"/>
    <col min="28" max="28" width="12.85546875" style="173" customWidth="1"/>
    <col min="29" max="29" width="14.28515625" style="1" customWidth="1"/>
    <col min="30" max="30" width="23.28515625" style="1" customWidth="1"/>
    <col min="31" max="31" width="9.140625" style="173" customWidth="1"/>
    <col min="32" max="32" width="18.28515625" style="173" customWidth="1"/>
    <col min="33" max="33" width="12.85546875" style="173" bestFit="1" customWidth="1"/>
    <col min="34" max="34" width="12.7109375" style="173" customWidth="1"/>
    <col min="35" max="35" width="20.140625" style="173" customWidth="1"/>
    <col min="36" max="36" width="11.28515625" bestFit="1" customWidth="1"/>
    <col min="37" max="38" width="10.28515625" bestFit="1" customWidth="1"/>
    <col min="40" max="40" width="11.28515625" bestFit="1" customWidth="1"/>
    <col min="41" max="41" width="12.85546875" bestFit="1" customWidth="1"/>
  </cols>
  <sheetData>
    <row r="1" spans="1:16381" s="40" customFormat="1" ht="13.5" thickBot="1" x14ac:dyDescent="0.25">
      <c r="V1" s="5" t="s">
        <v>241</v>
      </c>
      <c r="W1" s="5"/>
      <c r="X1" s="5"/>
      <c r="Y1" s="5"/>
      <c r="Z1"/>
      <c r="AA1" s="173"/>
      <c r="AB1" s="173"/>
      <c r="AC1" s="1"/>
      <c r="AD1" s="1"/>
      <c r="AE1" s="173"/>
      <c r="AF1" s="173"/>
      <c r="AG1" s="173"/>
      <c r="AH1" s="173"/>
      <c r="AI1" s="173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</row>
    <row r="2" spans="1:16381" s="46" customFormat="1" x14ac:dyDescent="0.2">
      <c r="B2" s="41"/>
      <c r="C2" s="42"/>
      <c r="D2" s="128" t="s">
        <v>212</v>
      </c>
      <c r="E2" s="128"/>
      <c r="F2" s="42"/>
      <c r="G2" s="43" t="s">
        <v>10</v>
      </c>
      <c r="H2" s="43" t="s">
        <v>46</v>
      </c>
      <c r="I2" s="43" t="s">
        <v>10</v>
      </c>
      <c r="J2" s="43" t="s">
        <v>50</v>
      </c>
      <c r="K2" s="43" t="s">
        <v>213</v>
      </c>
      <c r="L2" s="43"/>
      <c r="M2" s="43" t="s">
        <v>215</v>
      </c>
      <c r="N2" s="43" t="s">
        <v>52</v>
      </c>
      <c r="O2" s="43" t="s">
        <v>53</v>
      </c>
      <c r="P2" s="43" t="s">
        <v>10</v>
      </c>
      <c r="Q2" s="43" t="s">
        <v>137</v>
      </c>
      <c r="R2" s="44" t="s">
        <v>293</v>
      </c>
      <c r="S2" s="44" t="s">
        <v>190</v>
      </c>
      <c r="T2" s="44" t="s">
        <v>176</v>
      </c>
      <c r="U2" s="45"/>
      <c r="V2" s="155" t="s">
        <v>238</v>
      </c>
      <c r="W2" s="155" t="s">
        <v>230</v>
      </c>
      <c r="X2" s="155" t="s">
        <v>238</v>
      </c>
      <c r="Y2" s="155" t="s">
        <v>230</v>
      </c>
      <c r="Z2"/>
      <c r="AA2" s="175"/>
      <c r="AB2" s="175"/>
      <c r="AC2" s="191"/>
      <c r="AD2" s="191"/>
      <c r="AE2" s="175"/>
      <c r="AF2" s="175"/>
      <c r="AG2" s="175"/>
      <c r="AH2" s="175"/>
      <c r="AI2" s="175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</row>
    <row r="3" spans="1:16381" s="46" customFormat="1" ht="13.5" thickBot="1" x14ac:dyDescent="0.25">
      <c r="B3" s="47"/>
      <c r="C3" s="48"/>
      <c r="D3" s="127" t="s">
        <v>45</v>
      </c>
      <c r="E3" s="127" t="s">
        <v>222</v>
      </c>
      <c r="F3" s="127" t="s">
        <v>211</v>
      </c>
      <c r="G3" s="127" t="s">
        <v>45</v>
      </c>
      <c r="H3" s="49" t="s">
        <v>47</v>
      </c>
      <c r="I3" s="49" t="s">
        <v>48</v>
      </c>
      <c r="J3" s="49" t="s">
        <v>49</v>
      </c>
      <c r="K3" s="49" t="s">
        <v>51</v>
      </c>
      <c r="L3" s="49" t="s">
        <v>214</v>
      </c>
      <c r="M3" s="49" t="s">
        <v>216</v>
      </c>
      <c r="N3" s="49" t="s">
        <v>50</v>
      </c>
      <c r="O3" s="49" t="s">
        <v>51</v>
      </c>
      <c r="P3" s="49" t="s">
        <v>50</v>
      </c>
      <c r="Q3" s="49" t="s">
        <v>138</v>
      </c>
      <c r="R3" s="50" t="s">
        <v>55</v>
      </c>
      <c r="S3" s="50" t="s">
        <v>55</v>
      </c>
      <c r="T3" s="50" t="s">
        <v>55</v>
      </c>
      <c r="U3" s="45"/>
      <c r="V3" s="155" t="s">
        <v>239</v>
      </c>
      <c r="W3" s="155" t="s">
        <v>138</v>
      </c>
      <c r="X3" s="155" t="s">
        <v>240</v>
      </c>
      <c r="Y3" s="155" t="s">
        <v>138</v>
      </c>
      <c r="Z3"/>
      <c r="AA3" s="139" t="s">
        <v>249</v>
      </c>
      <c r="AB3" s="139" t="s">
        <v>248</v>
      </c>
      <c r="AC3" s="8" t="s">
        <v>259</v>
      </c>
      <c r="AD3" s="8" t="s">
        <v>247</v>
      </c>
      <c r="AE3" s="139"/>
      <c r="AF3" s="139" t="s">
        <v>253</v>
      </c>
      <c r="AG3" s="139" t="s">
        <v>252</v>
      </c>
      <c r="AH3" s="139" t="s">
        <v>251</v>
      </c>
      <c r="AI3" s="139" t="s">
        <v>250</v>
      </c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</row>
    <row r="4" spans="1:16381" s="40" customFormat="1" x14ac:dyDescent="0.2">
      <c r="A4" s="40">
        <v>1000</v>
      </c>
      <c r="B4" s="51">
        <v>1000</v>
      </c>
      <c r="C4" s="52" t="s">
        <v>2</v>
      </c>
      <c r="D4" s="131">
        <f>+AF4</f>
        <v>13308474</v>
      </c>
      <c r="E4" s="131">
        <f t="shared" ref="E4:F4" si="0">+AG4</f>
        <v>0</v>
      </c>
      <c r="F4" s="131">
        <f t="shared" si="0"/>
        <v>1985797</v>
      </c>
      <c r="G4" s="39">
        <f t="shared" ref="G4:G20" si="1">SUM(D4:F4)</f>
        <v>15294271</v>
      </c>
      <c r="H4" s="39">
        <f t="shared" ref="H4:H18" si="2">P4-G4</f>
        <v>3141903.4039999992</v>
      </c>
      <c r="I4" s="53">
        <f t="shared" ref="I4:I18" si="3">+G4+H4</f>
        <v>18436174.403999999</v>
      </c>
      <c r="J4" s="53">
        <v>4732163</v>
      </c>
      <c r="K4" s="53">
        <f>+AA4</f>
        <v>5068802</v>
      </c>
      <c r="L4" s="53">
        <f>+AB4</f>
        <v>47950</v>
      </c>
      <c r="M4" s="39">
        <f>+K4+L4</f>
        <v>5116752</v>
      </c>
      <c r="N4" s="53">
        <f>+J4+M4</f>
        <v>9848915</v>
      </c>
      <c r="O4" s="39">
        <f>$G$54*R4+1990+2013+3078</f>
        <v>8587259.4039999992</v>
      </c>
      <c r="P4" s="53">
        <f>+N4+O4</f>
        <v>18436174.403999999</v>
      </c>
      <c r="Q4" s="34">
        <f>H4/G4</f>
        <v>0.20543008581448566</v>
      </c>
      <c r="R4" s="54">
        <f>23.13-3.76-0.13-2.06+0.04</f>
        <v>17.22</v>
      </c>
      <c r="S4" s="54">
        <f>35.85-1.28+0.4+0.74+3.98+1.69</f>
        <v>41.379999999999995</v>
      </c>
      <c r="T4" s="54">
        <f>26.05-0.39-0.75-0.9-0.9-0.02-0.53</f>
        <v>22.560000000000002</v>
      </c>
      <c r="U4" s="55"/>
      <c r="V4" s="90">
        <f t="shared" ref="V4:V18" si="4">+O4*0.01</f>
        <v>85872.594039999996</v>
      </c>
      <c r="W4" s="4">
        <f>(+H4+V4)/G4</f>
        <v>0.21104477604980315</v>
      </c>
      <c r="X4" s="90">
        <f>+O4*0.02</f>
        <v>171745.18807999999</v>
      </c>
      <c r="Y4" s="4">
        <f>(+H4+X4)/G4</f>
        <v>0.21665946628512067</v>
      </c>
      <c r="Z4" s="98"/>
      <c r="AA4" s="187">
        <v>5068802</v>
      </c>
      <c r="AB4" s="187">
        <v>47950</v>
      </c>
      <c r="AC4" s="192">
        <f>+O4</f>
        <v>8587259.4039999992</v>
      </c>
      <c r="AD4" s="192">
        <f>SUM(AA4:AC4)</f>
        <v>13704011.403999999</v>
      </c>
      <c r="AE4" s="173"/>
      <c r="AF4" s="187">
        <v>13308474</v>
      </c>
      <c r="AG4" s="187"/>
      <c r="AH4" s="187">
        <v>1985797</v>
      </c>
      <c r="AI4" s="190">
        <f>SUM(AF4:AH4)</f>
        <v>15294271</v>
      </c>
      <c r="AJ4"/>
      <c r="AK4"/>
      <c r="AL4"/>
      <c r="AM4"/>
      <c r="AN4"/>
      <c r="AO4" s="173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</row>
    <row r="5" spans="1:16381" s="40" customFormat="1" x14ac:dyDescent="0.2">
      <c r="A5" s="40">
        <v>2120</v>
      </c>
      <c r="B5" s="51">
        <v>2120</v>
      </c>
      <c r="C5" s="52" t="s">
        <v>15</v>
      </c>
      <c r="D5" s="131">
        <f t="shared" ref="D5:D20" si="5">+AF5</f>
        <v>185900</v>
      </c>
      <c r="E5" s="131">
        <f t="shared" ref="E5:E20" si="6">+AG5</f>
        <v>0</v>
      </c>
      <c r="F5" s="131">
        <f t="shared" ref="F5:F20" si="7">+AH5</f>
        <v>0</v>
      </c>
      <c r="G5" s="39">
        <f t="shared" si="1"/>
        <v>185900</v>
      </c>
      <c r="H5" s="39">
        <f t="shared" si="2"/>
        <v>35866.188000000024</v>
      </c>
      <c r="I5" s="53">
        <f t="shared" si="3"/>
        <v>221766.18800000002</v>
      </c>
      <c r="J5" s="53">
        <v>51572</v>
      </c>
      <c r="K5" s="53">
        <f t="shared" ref="K5:K20" si="8">+AA5</f>
        <v>783</v>
      </c>
      <c r="L5" s="53">
        <f t="shared" ref="L5:L20" si="9">+AB5</f>
        <v>0</v>
      </c>
      <c r="M5" s="39">
        <f t="shared" ref="M5:M18" si="10">+K5+L5</f>
        <v>783</v>
      </c>
      <c r="N5" s="53">
        <f>+J5+M5</f>
        <v>52355</v>
      </c>
      <c r="O5" s="39">
        <f>$G$54*R5</f>
        <v>169411.18800000002</v>
      </c>
      <c r="P5" s="53">
        <f>+N5+O5</f>
        <v>221766.18800000002</v>
      </c>
      <c r="Q5" s="34">
        <f t="shared" ref="Q5:Q18" si="11">H5/G5</f>
        <v>0.1929326949973105</v>
      </c>
      <c r="R5" s="54">
        <v>0.34</v>
      </c>
      <c r="S5" s="54">
        <v>1.72</v>
      </c>
      <c r="T5" s="54">
        <f>1.5-0.05</f>
        <v>1.45</v>
      </c>
      <c r="U5" s="55"/>
      <c r="V5" s="90">
        <f t="shared" si="4"/>
        <v>1694.1118800000004</v>
      </c>
      <c r="W5" s="4">
        <f t="shared" ref="W5:W48" si="12">(+H5+V5)/G5</f>
        <v>0.20204572286175373</v>
      </c>
      <c r="X5" s="90">
        <f t="shared" ref="X5:X46" si="13">+O5*0.02</f>
        <v>3388.2237600000008</v>
      </c>
      <c r="Y5" s="4">
        <f t="shared" ref="Y5:Y48" si="14">(+H5+X5)/G5</f>
        <v>0.21115875072619703</v>
      </c>
      <c r="Z5" s="98"/>
      <c r="AA5" s="187">
        <v>783</v>
      </c>
      <c r="AB5" s="187"/>
      <c r="AC5" s="192">
        <f t="shared" ref="AC5:AC20" si="15">+O5</f>
        <v>169411.18800000002</v>
      </c>
      <c r="AD5" s="192">
        <f t="shared" ref="AD5:AD20" si="16">SUM(AA5:AC5)</f>
        <v>170194.18800000002</v>
      </c>
      <c r="AE5" s="173"/>
      <c r="AF5" s="187">
        <v>185900</v>
      </c>
      <c r="AG5" s="187"/>
      <c r="AH5" s="187">
        <v>0</v>
      </c>
      <c r="AI5" s="190">
        <f t="shared" ref="AI5:AI20" si="17">SUM(AF5:AH5)</f>
        <v>185900</v>
      </c>
      <c r="AJ5"/>
      <c r="AK5"/>
      <c r="AL5"/>
      <c r="AM5"/>
      <c r="AN5"/>
      <c r="AO5" s="173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</row>
    <row r="6" spans="1:16381" s="40" customFormat="1" x14ac:dyDescent="0.2">
      <c r="A6" s="40">
        <v>2130</v>
      </c>
      <c r="B6" s="51">
        <v>2130</v>
      </c>
      <c r="C6" s="52" t="s">
        <v>3</v>
      </c>
      <c r="D6" s="131">
        <f t="shared" si="5"/>
        <v>1040846</v>
      </c>
      <c r="E6" s="131">
        <f t="shared" si="6"/>
        <v>0</v>
      </c>
      <c r="F6" s="131">
        <f t="shared" si="7"/>
        <v>202000</v>
      </c>
      <c r="G6" s="39">
        <f t="shared" si="1"/>
        <v>1242846</v>
      </c>
      <c r="H6" s="39">
        <f t="shared" si="2"/>
        <v>258435.98600000003</v>
      </c>
      <c r="I6" s="53">
        <f t="shared" si="3"/>
        <v>1501281.986</v>
      </c>
      <c r="J6" s="53">
        <v>515249</v>
      </c>
      <c r="K6" s="53">
        <f t="shared" si="8"/>
        <v>124029</v>
      </c>
      <c r="L6" s="53">
        <f t="shared" si="9"/>
        <v>0</v>
      </c>
      <c r="M6" s="39">
        <f t="shared" si="10"/>
        <v>124029</v>
      </c>
      <c r="N6" s="53">
        <f t="shared" ref="N6:N20" si="18">+J6+M6</f>
        <v>639278</v>
      </c>
      <c r="O6" s="39">
        <f>$G$54*R6</f>
        <v>862003.98600000003</v>
      </c>
      <c r="P6" s="53">
        <f t="shared" ref="P6:P18" si="19">+N6+O6</f>
        <v>1501281.986</v>
      </c>
      <c r="Q6" s="34">
        <f t="shared" si="11"/>
        <v>0.20793886450936</v>
      </c>
      <c r="R6" s="54">
        <v>1.73</v>
      </c>
      <c r="S6" s="54">
        <v>2.62</v>
      </c>
      <c r="T6" s="54">
        <f>3.58-0.1</f>
        <v>3.48</v>
      </c>
      <c r="U6" s="55"/>
      <c r="V6" s="90">
        <f t="shared" si="4"/>
        <v>8620.0398600000008</v>
      </c>
      <c r="W6" s="4">
        <f t="shared" si="12"/>
        <v>0.21487459094690739</v>
      </c>
      <c r="X6" s="90">
        <f t="shared" si="13"/>
        <v>17240.079720000002</v>
      </c>
      <c r="Y6" s="4">
        <f t="shared" si="14"/>
        <v>0.22181031738445472</v>
      </c>
      <c r="Z6" s="98"/>
      <c r="AA6" s="187">
        <v>124029</v>
      </c>
      <c r="AB6" s="187"/>
      <c r="AC6" s="192">
        <f>+O6</f>
        <v>862003.98600000003</v>
      </c>
      <c r="AD6" s="192">
        <f t="shared" si="16"/>
        <v>986032.98600000003</v>
      </c>
      <c r="AE6" s="173"/>
      <c r="AF6" s="187">
        <v>1040846</v>
      </c>
      <c r="AG6" s="187"/>
      <c r="AH6" s="187">
        <v>202000</v>
      </c>
      <c r="AI6" s="190">
        <f t="shared" si="17"/>
        <v>1242846</v>
      </c>
      <c r="AJ6"/>
      <c r="AK6"/>
      <c r="AL6"/>
      <c r="AM6"/>
      <c r="AN6"/>
      <c r="AO6" s="173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</row>
    <row r="7" spans="1:16381" s="40" customFormat="1" x14ac:dyDescent="0.2">
      <c r="A7" s="40">
        <v>2140</v>
      </c>
      <c r="B7" s="51">
        <v>2140</v>
      </c>
      <c r="C7" s="52" t="s">
        <v>4</v>
      </c>
      <c r="D7" s="131">
        <f t="shared" si="5"/>
        <v>652412</v>
      </c>
      <c r="E7" s="131">
        <f t="shared" si="6"/>
        <v>0</v>
      </c>
      <c r="F7" s="131">
        <f t="shared" si="7"/>
        <v>90891</v>
      </c>
      <c r="G7" s="39">
        <f t="shared" si="1"/>
        <v>743303</v>
      </c>
      <c r="H7" s="39">
        <f t="shared" si="2"/>
        <v>151467.51799999992</v>
      </c>
      <c r="I7" s="53">
        <f t="shared" si="3"/>
        <v>894770.51799999992</v>
      </c>
      <c r="J7" s="53">
        <v>204577</v>
      </c>
      <c r="K7" s="53">
        <f t="shared" si="8"/>
        <v>161973</v>
      </c>
      <c r="L7" s="53">
        <f t="shared" si="9"/>
        <v>34935</v>
      </c>
      <c r="M7" s="39">
        <f t="shared" si="10"/>
        <v>196908</v>
      </c>
      <c r="N7" s="53">
        <f t="shared" si="18"/>
        <v>401485</v>
      </c>
      <c r="O7" s="39">
        <f>$G$54*R7</f>
        <v>493285.51799999998</v>
      </c>
      <c r="P7" s="53">
        <f t="shared" si="19"/>
        <v>894770.51799999992</v>
      </c>
      <c r="Q7" s="34">
        <f t="shared" si="11"/>
        <v>0.20377627696914977</v>
      </c>
      <c r="R7" s="54">
        <v>0.99</v>
      </c>
      <c r="S7" s="54">
        <v>1.28</v>
      </c>
      <c r="T7" s="54">
        <f>1.85-0.3+0.1</f>
        <v>1.6500000000000001</v>
      </c>
      <c r="U7" s="55"/>
      <c r="V7" s="90">
        <f t="shared" si="4"/>
        <v>4932.8551799999996</v>
      </c>
      <c r="W7" s="4">
        <f t="shared" si="12"/>
        <v>0.21041267582668163</v>
      </c>
      <c r="X7" s="90">
        <f t="shared" si="13"/>
        <v>9865.7103599999991</v>
      </c>
      <c r="Y7" s="4">
        <f t="shared" si="14"/>
        <v>0.21704907468421347</v>
      </c>
      <c r="Z7" s="98"/>
      <c r="AA7" s="187">
        <v>161973</v>
      </c>
      <c r="AB7" s="187">
        <v>34935</v>
      </c>
      <c r="AC7" s="192">
        <f t="shared" si="15"/>
        <v>493285.51799999998</v>
      </c>
      <c r="AD7" s="192">
        <f t="shared" si="16"/>
        <v>690193.51799999992</v>
      </c>
      <c r="AE7" s="173"/>
      <c r="AF7" s="187">
        <v>652412</v>
      </c>
      <c r="AG7" s="187"/>
      <c r="AH7" s="187">
        <v>90891</v>
      </c>
      <c r="AI7" s="190">
        <f t="shared" si="17"/>
        <v>743303</v>
      </c>
      <c r="AJ7"/>
      <c r="AK7"/>
      <c r="AL7"/>
      <c r="AM7"/>
      <c r="AN7"/>
      <c r="AO7" s="173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</row>
    <row r="8" spans="1:16381" s="52" customFormat="1" x14ac:dyDescent="0.2">
      <c r="A8" s="40">
        <v>2160</v>
      </c>
      <c r="B8" s="51">
        <v>2160</v>
      </c>
      <c r="C8" s="52" t="s">
        <v>171</v>
      </c>
      <c r="D8" s="131">
        <f t="shared" si="5"/>
        <v>1705276</v>
      </c>
      <c r="E8" s="131">
        <f t="shared" si="6"/>
        <v>0</v>
      </c>
      <c r="F8" s="131">
        <f t="shared" si="7"/>
        <v>296570</v>
      </c>
      <c r="G8" s="39">
        <f t="shared" si="1"/>
        <v>2001846</v>
      </c>
      <c r="H8" s="39">
        <f t="shared" si="2"/>
        <v>126014.87399999984</v>
      </c>
      <c r="I8" s="53">
        <f t="shared" si="3"/>
        <v>2127860.8739999998</v>
      </c>
      <c r="J8" s="53">
        <v>778348</v>
      </c>
      <c r="K8" s="53">
        <f t="shared" si="8"/>
        <v>1067513</v>
      </c>
      <c r="L8" s="53">
        <f t="shared" si="9"/>
        <v>0</v>
      </c>
      <c r="M8" s="39">
        <f t="shared" si="10"/>
        <v>1067513</v>
      </c>
      <c r="N8" s="53">
        <f t="shared" si="18"/>
        <v>1845861</v>
      </c>
      <c r="O8" s="39">
        <f>$G$54*R8-2013</f>
        <v>281999.87400000001</v>
      </c>
      <c r="P8" s="53">
        <f t="shared" si="19"/>
        <v>2127860.8739999998</v>
      </c>
      <c r="Q8" s="34">
        <f t="shared" si="11"/>
        <v>6.2949334764012738E-2</v>
      </c>
      <c r="R8" s="54">
        <v>0.56999999999999995</v>
      </c>
      <c r="S8" s="54">
        <v>1.17</v>
      </c>
      <c r="T8" s="54">
        <v>1.17</v>
      </c>
      <c r="U8" s="55"/>
      <c r="V8" s="90">
        <f t="shared" si="4"/>
        <v>2819.99874</v>
      </c>
      <c r="W8" s="4">
        <f t="shared" si="12"/>
        <v>6.4358033904705875E-2</v>
      </c>
      <c r="X8" s="90">
        <f t="shared" si="13"/>
        <v>5639.99748</v>
      </c>
      <c r="Y8" s="4">
        <f t="shared" si="14"/>
        <v>6.5766733045399012E-2</v>
      </c>
      <c r="Z8" s="98"/>
      <c r="AA8" s="187">
        <v>1067513</v>
      </c>
      <c r="AB8" s="187"/>
      <c r="AC8" s="192">
        <f t="shared" si="15"/>
        <v>281999.87400000001</v>
      </c>
      <c r="AD8" s="192">
        <f t="shared" si="16"/>
        <v>1349512.8740000001</v>
      </c>
      <c r="AE8" s="173"/>
      <c r="AF8" s="187">
        <v>1705276</v>
      </c>
      <c r="AG8" s="187"/>
      <c r="AH8" s="187">
        <v>296570</v>
      </c>
      <c r="AI8" s="190">
        <f t="shared" si="17"/>
        <v>2001846</v>
      </c>
      <c r="AJ8"/>
      <c r="AK8"/>
      <c r="AL8"/>
      <c r="AM8"/>
      <c r="AN8"/>
      <c r="AO8" s="173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</row>
    <row r="9" spans="1:16381" s="40" customFormat="1" x14ac:dyDescent="0.2">
      <c r="A9" s="40">
        <v>2180</v>
      </c>
      <c r="B9" s="51">
        <v>2180</v>
      </c>
      <c r="C9" s="52" t="s">
        <v>5</v>
      </c>
      <c r="D9" s="131">
        <f t="shared" si="5"/>
        <v>868534</v>
      </c>
      <c r="E9" s="131">
        <f t="shared" si="6"/>
        <v>0</v>
      </c>
      <c r="F9" s="131">
        <f t="shared" si="7"/>
        <v>2200</v>
      </c>
      <c r="G9" s="39">
        <f t="shared" si="1"/>
        <v>870734</v>
      </c>
      <c r="H9" s="39">
        <f t="shared" si="2"/>
        <v>182006.652</v>
      </c>
      <c r="I9" s="53">
        <f t="shared" si="3"/>
        <v>1052740.652</v>
      </c>
      <c r="J9" s="53">
        <v>239787</v>
      </c>
      <c r="K9" s="53">
        <f t="shared" si="8"/>
        <v>384443</v>
      </c>
      <c r="L9" s="53">
        <f t="shared" si="9"/>
        <v>0</v>
      </c>
      <c r="M9" s="39">
        <f t="shared" si="10"/>
        <v>384443</v>
      </c>
      <c r="N9" s="53">
        <f t="shared" si="18"/>
        <v>624230</v>
      </c>
      <c r="O9" s="39">
        <f>$G$54*R9</f>
        <v>428510.652</v>
      </c>
      <c r="P9" s="53">
        <f t="shared" si="19"/>
        <v>1052740.652</v>
      </c>
      <c r="Q9" s="34">
        <f t="shared" si="11"/>
        <v>0.20902669701654006</v>
      </c>
      <c r="R9" s="54">
        <v>0.86</v>
      </c>
      <c r="S9" s="54">
        <v>0.4</v>
      </c>
      <c r="T9" s="54">
        <f>2.27+0.2+0.3+0.1</f>
        <v>2.87</v>
      </c>
      <c r="U9" s="55"/>
      <c r="V9" s="90">
        <f t="shared" si="4"/>
        <v>4285.1065200000003</v>
      </c>
      <c r="W9" s="4">
        <f t="shared" si="12"/>
        <v>0.21394795485188359</v>
      </c>
      <c r="X9" s="90">
        <f t="shared" si="13"/>
        <v>8570.2130400000005</v>
      </c>
      <c r="Y9" s="4">
        <f t="shared" si="14"/>
        <v>0.21886921268722712</v>
      </c>
      <c r="Z9" s="98"/>
      <c r="AA9" s="187">
        <v>384443</v>
      </c>
      <c r="AB9" s="187"/>
      <c r="AC9" s="192">
        <f t="shared" si="15"/>
        <v>428510.652</v>
      </c>
      <c r="AD9" s="192">
        <f t="shared" si="16"/>
        <v>812953.652</v>
      </c>
      <c r="AE9" s="173"/>
      <c r="AF9" s="187">
        <v>868534</v>
      </c>
      <c r="AG9" s="187"/>
      <c r="AH9" s="187">
        <v>2200</v>
      </c>
      <c r="AI9" s="190">
        <f t="shared" si="17"/>
        <v>870734</v>
      </c>
      <c r="AJ9"/>
      <c r="AK9"/>
      <c r="AL9"/>
      <c r="AM9"/>
      <c r="AN9"/>
      <c r="AO9" s="173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</row>
    <row r="10" spans="1:16381" s="40" customFormat="1" x14ac:dyDescent="0.2">
      <c r="A10" s="40">
        <v>2190</v>
      </c>
      <c r="B10" s="51">
        <v>2190</v>
      </c>
      <c r="C10" s="52" t="s">
        <v>6</v>
      </c>
      <c r="D10" s="131">
        <f t="shared" si="5"/>
        <v>2175900</v>
      </c>
      <c r="E10" s="131">
        <f t="shared" si="6"/>
        <v>0</v>
      </c>
      <c r="F10" s="131">
        <f t="shared" si="7"/>
        <v>0</v>
      </c>
      <c r="G10" s="39">
        <f t="shared" si="1"/>
        <v>2175900</v>
      </c>
      <c r="H10" s="39">
        <f t="shared" si="2"/>
        <v>453127.62000000011</v>
      </c>
      <c r="I10" s="53">
        <f t="shared" si="3"/>
        <v>2629027.62</v>
      </c>
      <c r="J10" s="53">
        <v>547940</v>
      </c>
      <c r="K10" s="53">
        <f t="shared" si="8"/>
        <v>38188</v>
      </c>
      <c r="L10" s="53">
        <f t="shared" si="9"/>
        <v>0</v>
      </c>
      <c r="M10" s="39">
        <f t="shared" si="10"/>
        <v>38188</v>
      </c>
      <c r="N10" s="53">
        <f t="shared" si="18"/>
        <v>586128</v>
      </c>
      <c r="O10" s="39">
        <f>$G$54*R10</f>
        <v>2042899.6199999999</v>
      </c>
      <c r="P10" s="53">
        <f t="shared" si="19"/>
        <v>2629027.62</v>
      </c>
      <c r="Q10" s="34">
        <f t="shared" si="11"/>
        <v>0.20824836619329937</v>
      </c>
      <c r="R10" s="54">
        <v>4.0999999999999996</v>
      </c>
      <c r="S10" s="54">
        <v>2.25</v>
      </c>
      <c r="T10" s="54">
        <f>3.89-0.6-0.3+0.1</f>
        <v>3.0900000000000003</v>
      </c>
      <c r="U10" s="55"/>
      <c r="V10" s="90">
        <f t="shared" si="4"/>
        <v>20428.996199999998</v>
      </c>
      <c r="W10" s="4">
        <f t="shared" si="12"/>
        <v>0.21763712312146702</v>
      </c>
      <c r="X10" s="90">
        <f t="shared" si="13"/>
        <v>40857.992399999996</v>
      </c>
      <c r="Y10" s="4">
        <f t="shared" si="14"/>
        <v>0.22702588004963467</v>
      </c>
      <c r="Z10" s="98"/>
      <c r="AA10" s="187">
        <v>38188</v>
      </c>
      <c r="AB10" s="187"/>
      <c r="AC10" s="192">
        <f t="shared" si="15"/>
        <v>2042899.6199999999</v>
      </c>
      <c r="AD10" s="192">
        <f t="shared" si="16"/>
        <v>2081087.6199999999</v>
      </c>
      <c r="AE10" s="173"/>
      <c r="AF10" s="187">
        <v>2175900</v>
      </c>
      <c r="AG10" s="187"/>
      <c r="AH10" s="187"/>
      <c r="AI10" s="190">
        <f t="shared" si="17"/>
        <v>2175900</v>
      </c>
      <c r="AJ10"/>
      <c r="AK10"/>
      <c r="AL10"/>
      <c r="AM10"/>
      <c r="AN10"/>
      <c r="AO10" s="173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</row>
    <row r="11" spans="1:16381" s="40" customFormat="1" x14ac:dyDescent="0.2">
      <c r="A11" s="40">
        <v>2210</v>
      </c>
      <c r="B11" s="51">
        <v>2210</v>
      </c>
      <c r="C11" s="52" t="s">
        <v>16</v>
      </c>
      <c r="D11" s="131">
        <f t="shared" si="5"/>
        <v>725001</v>
      </c>
      <c r="E11" s="131">
        <f t="shared" si="6"/>
        <v>0</v>
      </c>
      <c r="F11" s="131">
        <f t="shared" si="7"/>
        <v>167066</v>
      </c>
      <c r="G11" s="39">
        <f t="shared" si="1"/>
        <v>892067</v>
      </c>
      <c r="H11" s="39">
        <f t="shared" si="2"/>
        <v>196511.42999999993</v>
      </c>
      <c r="I11" s="53">
        <f t="shared" si="3"/>
        <v>1088578.43</v>
      </c>
      <c r="J11" s="53">
        <v>277396</v>
      </c>
      <c r="K11" s="53">
        <f t="shared" si="8"/>
        <v>238174</v>
      </c>
      <c r="L11" s="53">
        <f t="shared" si="9"/>
        <v>0</v>
      </c>
      <c r="M11" s="39">
        <f t="shared" si="10"/>
        <v>238174</v>
      </c>
      <c r="N11" s="53">
        <f t="shared" si="18"/>
        <v>515570</v>
      </c>
      <c r="O11" s="39">
        <f>$G$54*R11</f>
        <v>573008.42999999993</v>
      </c>
      <c r="P11" s="53">
        <f t="shared" si="19"/>
        <v>1088578.43</v>
      </c>
      <c r="Q11" s="34">
        <f t="shared" si="11"/>
        <v>0.22028774744497884</v>
      </c>
      <c r="R11" s="54">
        <v>1.1499999999999999</v>
      </c>
      <c r="S11" s="54">
        <v>1.1299999999999999</v>
      </c>
      <c r="T11" s="54">
        <f>1.97-0.3+0.2</f>
        <v>1.8699999999999999</v>
      </c>
      <c r="U11" s="55"/>
      <c r="V11" s="90">
        <f t="shared" si="4"/>
        <v>5730.0842999999995</v>
      </c>
      <c r="W11" s="4">
        <f t="shared" si="12"/>
        <v>0.22671112629432533</v>
      </c>
      <c r="X11" s="90">
        <f t="shared" si="13"/>
        <v>11460.168599999999</v>
      </c>
      <c r="Y11" s="4">
        <f t="shared" si="14"/>
        <v>0.23313450514367187</v>
      </c>
      <c r="Z11" s="98"/>
      <c r="AA11" s="187">
        <v>238174</v>
      </c>
      <c r="AB11" s="187"/>
      <c r="AC11" s="192">
        <f t="shared" si="15"/>
        <v>573008.42999999993</v>
      </c>
      <c r="AD11" s="192">
        <f t="shared" si="16"/>
        <v>811182.42999999993</v>
      </c>
      <c r="AE11" s="173"/>
      <c r="AF11" s="187">
        <v>725001</v>
      </c>
      <c r="AG11" s="187"/>
      <c r="AH11" s="187">
        <v>167066</v>
      </c>
      <c r="AI11" s="190">
        <f t="shared" si="17"/>
        <v>892067</v>
      </c>
      <c r="AJ11"/>
      <c r="AK11"/>
      <c r="AL11"/>
      <c r="AM11"/>
      <c r="AN11"/>
      <c r="AO11" s="173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</row>
    <row r="12" spans="1:16381" s="52" customFormat="1" x14ac:dyDescent="0.2">
      <c r="A12" s="40">
        <v>2220</v>
      </c>
      <c r="B12" s="51">
        <v>2220</v>
      </c>
      <c r="C12" s="52" t="s">
        <v>7</v>
      </c>
      <c r="D12" s="131">
        <f t="shared" si="5"/>
        <v>2026066</v>
      </c>
      <c r="E12" s="131">
        <f t="shared" si="6"/>
        <v>0</v>
      </c>
      <c r="F12" s="131">
        <f t="shared" si="7"/>
        <v>16289</v>
      </c>
      <c r="G12" s="39">
        <f t="shared" si="1"/>
        <v>2042355</v>
      </c>
      <c r="H12" s="39">
        <f t="shared" si="2"/>
        <v>401554.88499999978</v>
      </c>
      <c r="I12" s="53">
        <f t="shared" si="3"/>
        <v>2443909.8849999998</v>
      </c>
      <c r="J12" s="53">
        <v>429045</v>
      </c>
      <c r="K12" s="53">
        <f t="shared" si="8"/>
        <v>235350</v>
      </c>
      <c r="L12" s="53">
        <f t="shared" si="9"/>
        <v>0</v>
      </c>
      <c r="M12" s="39">
        <f t="shared" si="10"/>
        <v>235350</v>
      </c>
      <c r="N12" s="53">
        <f t="shared" si="18"/>
        <v>664395</v>
      </c>
      <c r="O12" s="39">
        <f>(+G54-79090.58)*R12-1990</f>
        <v>1779514.885</v>
      </c>
      <c r="P12" s="53">
        <f t="shared" si="19"/>
        <v>2443909.8849999998</v>
      </c>
      <c r="Q12" s="34">
        <f t="shared" si="11"/>
        <v>0.19661365678346798</v>
      </c>
      <c r="R12" s="54">
        <v>4.25</v>
      </c>
      <c r="S12" s="54">
        <v>6.2</v>
      </c>
      <c r="T12" s="54">
        <v>6.2</v>
      </c>
      <c r="U12" s="55"/>
      <c r="V12" s="90">
        <f t="shared" si="4"/>
        <v>17795.148850000001</v>
      </c>
      <c r="W12" s="4">
        <f t="shared" si="12"/>
        <v>0.20532671051310852</v>
      </c>
      <c r="X12" s="90">
        <f t="shared" si="13"/>
        <v>35590.297700000003</v>
      </c>
      <c r="Y12" s="4">
        <f t="shared" si="14"/>
        <v>0.21403976424274906</v>
      </c>
      <c r="Z12" s="98"/>
      <c r="AA12" s="187">
        <v>235350</v>
      </c>
      <c r="AB12" s="187"/>
      <c r="AC12" s="192">
        <f t="shared" si="15"/>
        <v>1779514.885</v>
      </c>
      <c r="AD12" s="192">
        <f t="shared" si="16"/>
        <v>2014864.885</v>
      </c>
      <c r="AE12" s="173"/>
      <c r="AF12" s="187">
        <v>2026066</v>
      </c>
      <c r="AG12" s="187"/>
      <c r="AH12" s="187">
        <v>16289</v>
      </c>
      <c r="AI12" s="190">
        <f t="shared" si="17"/>
        <v>2042355</v>
      </c>
      <c r="AJ12"/>
      <c r="AK12"/>
      <c r="AL12"/>
      <c r="AM12"/>
      <c r="AN12"/>
      <c r="AO12" s="173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</row>
    <row r="13" spans="1:16381" s="40" customFormat="1" x14ac:dyDescent="0.2">
      <c r="A13" s="40">
        <v>2280</v>
      </c>
      <c r="B13" s="51">
        <v>2280</v>
      </c>
      <c r="C13" s="52" t="s">
        <v>20</v>
      </c>
      <c r="D13" s="131">
        <f t="shared" si="5"/>
        <v>241837</v>
      </c>
      <c r="E13" s="131">
        <f t="shared" si="6"/>
        <v>0</v>
      </c>
      <c r="F13" s="131">
        <f t="shared" si="7"/>
        <v>17213</v>
      </c>
      <c r="G13" s="39">
        <f t="shared" si="1"/>
        <v>259050</v>
      </c>
      <c r="H13" s="39">
        <f t="shared" si="2"/>
        <v>53232.008000000031</v>
      </c>
      <c r="I13" s="53">
        <f t="shared" si="3"/>
        <v>312282.00800000003</v>
      </c>
      <c r="J13" s="53">
        <v>69726</v>
      </c>
      <c r="K13" s="53">
        <f t="shared" si="8"/>
        <v>23318</v>
      </c>
      <c r="L13" s="53">
        <f t="shared" si="9"/>
        <v>0</v>
      </c>
      <c r="M13" s="39">
        <f t="shared" si="10"/>
        <v>23318</v>
      </c>
      <c r="N13" s="53">
        <f t="shared" si="18"/>
        <v>93044</v>
      </c>
      <c r="O13" s="39">
        <f t="shared" ref="O13:O18" si="20">$G$54*R13</f>
        <v>219238.008</v>
      </c>
      <c r="P13" s="53">
        <f t="shared" si="19"/>
        <v>312282.00800000003</v>
      </c>
      <c r="Q13" s="34">
        <f t="shared" si="11"/>
        <v>0.20548931866435063</v>
      </c>
      <c r="R13" s="54">
        <v>0.44</v>
      </c>
      <c r="S13" s="54">
        <v>0.91</v>
      </c>
      <c r="T13" s="54">
        <f>0.94</f>
        <v>0.94</v>
      </c>
      <c r="U13" s="55"/>
      <c r="V13" s="90">
        <f t="shared" si="4"/>
        <v>2192.3800799999999</v>
      </c>
      <c r="W13" s="4">
        <f t="shared" si="12"/>
        <v>0.21395247280447802</v>
      </c>
      <c r="X13" s="90">
        <f t="shared" si="13"/>
        <v>4384.7601599999998</v>
      </c>
      <c r="Y13" s="4">
        <f t="shared" si="14"/>
        <v>0.2224156269446054</v>
      </c>
      <c r="Z13" s="98"/>
      <c r="AA13" s="187">
        <v>23318</v>
      </c>
      <c r="AB13" s="187"/>
      <c r="AC13" s="192">
        <f t="shared" si="15"/>
        <v>219238.008</v>
      </c>
      <c r="AD13" s="192">
        <f t="shared" si="16"/>
        <v>242556.008</v>
      </c>
      <c r="AE13" s="173"/>
      <c r="AF13" s="187">
        <v>241837</v>
      </c>
      <c r="AG13" s="187"/>
      <c r="AH13" s="187">
        <v>17213</v>
      </c>
      <c r="AI13" s="190">
        <f t="shared" si="17"/>
        <v>259050</v>
      </c>
      <c r="AJ13"/>
      <c r="AK13"/>
      <c r="AL13"/>
      <c r="AM13"/>
      <c r="AN13"/>
      <c r="AO13" s="17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</row>
    <row r="14" spans="1:16381" s="40" customFormat="1" x14ac:dyDescent="0.2">
      <c r="A14" s="40">
        <v>2290</v>
      </c>
      <c r="B14" s="51">
        <v>2290</v>
      </c>
      <c r="C14" s="52" t="s">
        <v>9</v>
      </c>
      <c r="D14" s="131">
        <f t="shared" si="5"/>
        <v>179133</v>
      </c>
      <c r="E14" s="131">
        <f t="shared" si="6"/>
        <v>0</v>
      </c>
      <c r="F14" s="131">
        <f t="shared" si="7"/>
        <v>5875</v>
      </c>
      <c r="G14" s="39">
        <f t="shared" si="1"/>
        <v>185008</v>
      </c>
      <c r="H14" s="39">
        <f t="shared" si="2"/>
        <v>36176.823999999993</v>
      </c>
      <c r="I14" s="53">
        <f t="shared" si="3"/>
        <v>221184.82399999999</v>
      </c>
      <c r="J14" s="53">
        <v>50290</v>
      </c>
      <c r="K14" s="53">
        <f t="shared" si="8"/>
        <v>11449</v>
      </c>
      <c r="L14" s="53">
        <f t="shared" si="9"/>
        <v>0</v>
      </c>
      <c r="M14" s="39">
        <f t="shared" si="10"/>
        <v>11449</v>
      </c>
      <c r="N14" s="53">
        <f t="shared" si="18"/>
        <v>61739</v>
      </c>
      <c r="O14" s="39">
        <f t="shared" si="20"/>
        <v>159445.82399999999</v>
      </c>
      <c r="P14" s="53">
        <f t="shared" si="19"/>
        <v>221184.82399999999</v>
      </c>
      <c r="Q14" s="34">
        <f t="shared" si="11"/>
        <v>0.1955419441321456</v>
      </c>
      <c r="R14" s="54">
        <v>0.32</v>
      </c>
      <c r="S14" s="54">
        <v>0.48</v>
      </c>
      <c r="T14" s="54">
        <f>0.37+0.15-0.03</f>
        <v>0.49</v>
      </c>
      <c r="U14" s="55"/>
      <c r="V14" s="90">
        <f t="shared" si="4"/>
        <v>1594.4582399999999</v>
      </c>
      <c r="W14" s="4">
        <f t="shared" si="12"/>
        <v>0.20416026463720485</v>
      </c>
      <c r="X14" s="90">
        <f t="shared" si="13"/>
        <v>3188.9164799999999</v>
      </c>
      <c r="Y14" s="4">
        <f t="shared" si="14"/>
        <v>0.21277858514226408</v>
      </c>
      <c r="Z14" s="98"/>
      <c r="AA14" s="187">
        <v>11449</v>
      </c>
      <c r="AB14" s="187"/>
      <c r="AC14" s="192">
        <f t="shared" si="15"/>
        <v>159445.82399999999</v>
      </c>
      <c r="AD14" s="192">
        <f t="shared" si="16"/>
        <v>170894.82399999999</v>
      </c>
      <c r="AE14" s="173"/>
      <c r="AF14" s="187">
        <v>179133</v>
      </c>
      <c r="AG14" s="187"/>
      <c r="AH14" s="187">
        <v>5875</v>
      </c>
      <c r="AI14" s="190">
        <f t="shared" si="17"/>
        <v>185008</v>
      </c>
      <c r="AJ14"/>
      <c r="AK14"/>
      <c r="AL14"/>
      <c r="AM14"/>
      <c r="AN14"/>
      <c r="AO14" s="173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</row>
    <row r="15" spans="1:16381" s="40" customFormat="1" x14ac:dyDescent="0.2">
      <c r="A15" s="40">
        <v>2300</v>
      </c>
      <c r="B15" s="51">
        <v>2300</v>
      </c>
      <c r="C15" s="52" t="s">
        <v>21</v>
      </c>
      <c r="D15" s="131">
        <f t="shared" si="5"/>
        <v>13269607</v>
      </c>
      <c r="E15" s="131">
        <f t="shared" si="6"/>
        <v>0</v>
      </c>
      <c r="F15" s="131">
        <f t="shared" si="7"/>
        <v>1940322</v>
      </c>
      <c r="G15" s="39">
        <f t="shared" si="1"/>
        <v>15209929</v>
      </c>
      <c r="H15" s="39">
        <f t="shared" si="2"/>
        <v>3122121.200000003</v>
      </c>
      <c r="I15" s="53">
        <f t="shared" si="3"/>
        <v>18332050.200000003</v>
      </c>
      <c r="J15" s="53">
        <v>4034000</v>
      </c>
      <c r="K15" s="53">
        <f t="shared" si="8"/>
        <v>1328577</v>
      </c>
      <c r="L15" s="53">
        <f t="shared" si="9"/>
        <v>14500</v>
      </c>
      <c r="M15" s="39">
        <f t="shared" si="10"/>
        <v>1343077</v>
      </c>
      <c r="N15" s="53">
        <f t="shared" si="18"/>
        <v>5377077</v>
      </c>
      <c r="O15" s="39">
        <f t="shared" si="20"/>
        <v>12954973.200000001</v>
      </c>
      <c r="P15" s="53">
        <f t="shared" si="19"/>
        <v>18332050.200000003</v>
      </c>
      <c r="Q15" s="34">
        <f t="shared" si="11"/>
        <v>0.20526862419936365</v>
      </c>
      <c r="R15" s="54">
        <v>26</v>
      </c>
      <c r="S15" s="54">
        <v>30</v>
      </c>
      <c r="T15" s="54">
        <f>36.7-0.5</f>
        <v>36.200000000000003</v>
      </c>
      <c r="U15" s="55"/>
      <c r="V15" s="90">
        <f t="shared" si="4"/>
        <v>129549.73200000002</v>
      </c>
      <c r="W15" s="4">
        <f t="shared" si="12"/>
        <v>0.21378606908684469</v>
      </c>
      <c r="X15" s="90">
        <f t="shared" si="13"/>
        <v>259099.46400000004</v>
      </c>
      <c r="Y15" s="4">
        <f t="shared" si="14"/>
        <v>0.22230351397432579</v>
      </c>
      <c r="Z15" s="98"/>
      <c r="AA15" s="187">
        <v>1328577</v>
      </c>
      <c r="AB15" s="187">
        <v>14500</v>
      </c>
      <c r="AC15" s="192">
        <f t="shared" si="15"/>
        <v>12954973.200000001</v>
      </c>
      <c r="AD15" s="192">
        <f t="shared" si="16"/>
        <v>14298050.200000001</v>
      </c>
      <c r="AE15" s="173"/>
      <c r="AF15" s="187">
        <v>13269607</v>
      </c>
      <c r="AG15" s="187"/>
      <c r="AH15" s="187">
        <v>1940322</v>
      </c>
      <c r="AI15" s="190">
        <f t="shared" si="17"/>
        <v>15209929</v>
      </c>
      <c r="AJ15" s="173"/>
      <c r="AK15" s="173"/>
      <c r="AL15" s="173"/>
      <c r="AM15"/>
      <c r="AN15" s="173"/>
      <c r="AO15" s="173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</row>
    <row r="16" spans="1:16381" s="40" customFormat="1" x14ac:dyDescent="0.2">
      <c r="A16" s="40">
        <v>2370</v>
      </c>
      <c r="B16" s="51">
        <v>2370</v>
      </c>
      <c r="C16" s="52" t="s">
        <v>22</v>
      </c>
      <c r="D16" s="131">
        <f t="shared" si="5"/>
        <v>4595468</v>
      </c>
      <c r="E16" s="131">
        <f t="shared" si="6"/>
        <v>0</v>
      </c>
      <c r="F16" s="131">
        <f t="shared" si="7"/>
        <v>0</v>
      </c>
      <c r="G16" s="39">
        <f t="shared" si="1"/>
        <v>4595468</v>
      </c>
      <c r="H16" s="39">
        <f t="shared" si="2"/>
        <v>937746.21999999974</v>
      </c>
      <c r="I16" s="53">
        <f t="shared" si="3"/>
        <v>5533214.2199999997</v>
      </c>
      <c r="J16" s="53">
        <v>1749955</v>
      </c>
      <c r="K16" s="53">
        <f t="shared" si="8"/>
        <v>245555</v>
      </c>
      <c r="L16" s="53">
        <f t="shared" si="9"/>
        <v>0</v>
      </c>
      <c r="M16" s="39">
        <f t="shared" si="10"/>
        <v>245555</v>
      </c>
      <c r="N16" s="53">
        <f t="shared" si="18"/>
        <v>1995510</v>
      </c>
      <c r="O16" s="39">
        <f t="shared" si="20"/>
        <v>3537704.2199999997</v>
      </c>
      <c r="P16" s="53">
        <f t="shared" si="19"/>
        <v>5533214.2199999997</v>
      </c>
      <c r="Q16" s="34">
        <f t="shared" si="11"/>
        <v>0.20405891630623904</v>
      </c>
      <c r="R16" s="54">
        <v>7.1</v>
      </c>
      <c r="S16" s="54">
        <v>9.8000000000000007</v>
      </c>
      <c r="T16" s="54">
        <f>11.69-1+0.6</f>
        <v>11.29</v>
      </c>
      <c r="U16" s="55"/>
      <c r="V16" s="90">
        <f t="shared" si="4"/>
        <v>35377.042199999996</v>
      </c>
      <c r="W16" s="4">
        <f t="shared" si="12"/>
        <v>0.21175716209970338</v>
      </c>
      <c r="X16" s="90">
        <f t="shared" si="13"/>
        <v>70754.084399999992</v>
      </c>
      <c r="Y16" s="4">
        <f t="shared" si="14"/>
        <v>0.21945540789316775</v>
      </c>
      <c r="Z16" s="98"/>
      <c r="AA16" s="187">
        <v>245555</v>
      </c>
      <c r="AB16" s="187"/>
      <c r="AC16" s="192">
        <f t="shared" si="15"/>
        <v>3537704.2199999997</v>
      </c>
      <c r="AD16" s="192">
        <f t="shared" si="16"/>
        <v>3783259.2199999997</v>
      </c>
      <c r="AE16" s="173"/>
      <c r="AF16" s="187">
        <f>4824671-229203</f>
        <v>4595468</v>
      </c>
      <c r="AG16" s="187"/>
      <c r="AH16" s="187"/>
      <c r="AI16" s="190">
        <f t="shared" si="17"/>
        <v>4595468</v>
      </c>
      <c r="AJ16"/>
      <c r="AK16"/>
      <c r="AL16"/>
      <c r="AM16"/>
      <c r="AN16"/>
      <c r="AO16" s="173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</row>
    <row r="17" spans="1:16381" s="40" customFormat="1" x14ac:dyDescent="0.2">
      <c r="A17" s="40">
        <v>2380</v>
      </c>
      <c r="B17" s="51">
        <v>2380</v>
      </c>
      <c r="C17" s="52" t="s">
        <v>23</v>
      </c>
      <c r="D17" s="131">
        <f t="shared" si="5"/>
        <v>4777236</v>
      </c>
      <c r="E17" s="131">
        <f t="shared" si="6"/>
        <v>0</v>
      </c>
      <c r="F17" s="131">
        <f t="shared" si="7"/>
        <v>0</v>
      </c>
      <c r="G17" s="39">
        <f t="shared" si="1"/>
        <v>4777236</v>
      </c>
      <c r="H17" s="39">
        <f t="shared" si="2"/>
        <v>961343.28000000026</v>
      </c>
      <c r="I17" s="53">
        <f t="shared" si="3"/>
        <v>5738579.2800000003</v>
      </c>
      <c r="J17" s="53">
        <v>1475695</v>
      </c>
      <c r="K17" s="53">
        <f t="shared" si="8"/>
        <v>154459</v>
      </c>
      <c r="L17" s="53">
        <f t="shared" si="9"/>
        <v>3909118</v>
      </c>
      <c r="M17" s="39">
        <f t="shared" si="10"/>
        <v>4063577</v>
      </c>
      <c r="N17" s="53">
        <f t="shared" si="18"/>
        <v>5539272</v>
      </c>
      <c r="O17" s="39">
        <f t="shared" si="20"/>
        <v>199307.28000000003</v>
      </c>
      <c r="P17" s="53">
        <f t="shared" si="19"/>
        <v>5738579.2800000003</v>
      </c>
      <c r="Q17" s="34">
        <f t="shared" si="11"/>
        <v>0.2012342032087174</v>
      </c>
      <c r="R17" s="54">
        <v>0.4</v>
      </c>
      <c r="S17" s="54">
        <f>5.6-3.98</f>
        <v>1.6199999999999997</v>
      </c>
      <c r="T17" s="54">
        <f>2.26+4.5+0.5-0.4</f>
        <v>6.8599999999999994</v>
      </c>
      <c r="U17" s="55"/>
      <c r="V17" s="90">
        <f t="shared" si="4"/>
        <v>1993.0728000000004</v>
      </c>
      <c r="W17" s="4">
        <f t="shared" si="12"/>
        <v>0.20165140528958592</v>
      </c>
      <c r="X17" s="90">
        <f t="shared" si="13"/>
        <v>3986.1456000000007</v>
      </c>
      <c r="Y17" s="4">
        <f t="shared" si="14"/>
        <v>0.20206860737045446</v>
      </c>
      <c r="Z17" s="98"/>
      <c r="AA17" s="188">
        <v>154459</v>
      </c>
      <c r="AB17" s="187">
        <v>3909118</v>
      </c>
      <c r="AC17" s="192">
        <f t="shared" si="15"/>
        <v>199307.28000000003</v>
      </c>
      <c r="AD17" s="192">
        <f t="shared" si="16"/>
        <v>4262884.28</v>
      </c>
      <c r="AE17" s="175"/>
      <c r="AF17" s="187">
        <v>4777236</v>
      </c>
      <c r="AG17" s="187"/>
      <c r="AH17" s="187"/>
      <c r="AI17" s="190">
        <f t="shared" si="17"/>
        <v>4777236</v>
      </c>
      <c r="AJ17"/>
      <c r="AK17"/>
      <c r="AL17"/>
      <c r="AM17"/>
      <c r="AN17"/>
      <c r="AO17" s="173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</row>
    <row r="18" spans="1:16381" s="40" customFormat="1" x14ac:dyDescent="0.2">
      <c r="A18" s="40">
        <v>2396</v>
      </c>
      <c r="B18" s="51">
        <v>2396</v>
      </c>
      <c r="C18" s="52" t="s">
        <v>26</v>
      </c>
      <c r="D18" s="131">
        <f t="shared" si="5"/>
        <v>386336</v>
      </c>
      <c r="E18" s="131">
        <f t="shared" si="6"/>
        <v>0</v>
      </c>
      <c r="F18" s="131">
        <f t="shared" si="7"/>
        <v>11200</v>
      </c>
      <c r="G18" s="39">
        <f t="shared" si="1"/>
        <v>397536</v>
      </c>
      <c r="H18" s="39">
        <f t="shared" si="2"/>
        <v>83305.966000000015</v>
      </c>
      <c r="I18" s="53">
        <f t="shared" si="3"/>
        <v>480841.96600000001</v>
      </c>
      <c r="J18" s="53">
        <v>101620</v>
      </c>
      <c r="K18" s="53">
        <f t="shared" si="8"/>
        <v>65313</v>
      </c>
      <c r="L18" s="53">
        <f t="shared" si="9"/>
        <v>0</v>
      </c>
      <c r="M18" s="39">
        <f t="shared" si="10"/>
        <v>65313</v>
      </c>
      <c r="N18" s="53">
        <f>+J18+M18</f>
        <v>166933</v>
      </c>
      <c r="O18" s="39">
        <f t="shared" si="20"/>
        <v>313908.96600000001</v>
      </c>
      <c r="P18" s="53">
        <f t="shared" si="19"/>
        <v>480841.96600000001</v>
      </c>
      <c r="Q18" s="34">
        <f t="shared" si="11"/>
        <v>0.20955577859615235</v>
      </c>
      <c r="R18" s="54">
        <v>0.63</v>
      </c>
      <c r="S18" s="54">
        <v>1.83</v>
      </c>
      <c r="T18" s="54">
        <f>2.76-0.5</f>
        <v>2.2599999999999998</v>
      </c>
      <c r="U18" s="55"/>
      <c r="V18" s="90">
        <f t="shared" si="4"/>
        <v>3139.0896600000001</v>
      </c>
      <c r="W18" s="4">
        <f t="shared" si="12"/>
        <v>0.21745214435925303</v>
      </c>
      <c r="X18" s="90">
        <f t="shared" si="13"/>
        <v>6278.1793200000002</v>
      </c>
      <c r="Y18" s="4">
        <f t="shared" si="14"/>
        <v>0.22534851012235371</v>
      </c>
      <c r="Z18" s="98"/>
      <c r="AA18" s="187">
        <v>65313</v>
      </c>
      <c r="AB18" s="187"/>
      <c r="AC18" s="192">
        <f t="shared" si="15"/>
        <v>313908.96600000001</v>
      </c>
      <c r="AD18" s="192">
        <f t="shared" si="16"/>
        <v>379221.96600000001</v>
      </c>
      <c r="AE18" s="175"/>
      <c r="AF18" s="187">
        <v>386336</v>
      </c>
      <c r="AG18" s="187"/>
      <c r="AH18" s="187">
        <v>11200</v>
      </c>
      <c r="AI18" s="190">
        <f t="shared" si="17"/>
        <v>397536</v>
      </c>
      <c r="AJ18"/>
      <c r="AK18"/>
      <c r="AL18"/>
      <c r="AM18"/>
      <c r="AN18"/>
      <c r="AO18" s="173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</row>
    <row r="19" spans="1:16381" s="40" customFormat="1" x14ac:dyDescent="0.2">
      <c r="B19" s="51">
        <v>7853</v>
      </c>
      <c r="C19" s="52" t="s">
        <v>27</v>
      </c>
      <c r="D19" s="131">
        <f t="shared" si="5"/>
        <v>996536</v>
      </c>
      <c r="E19" s="131">
        <f t="shared" si="6"/>
        <v>0</v>
      </c>
      <c r="F19" s="131">
        <f t="shared" si="7"/>
        <v>0</v>
      </c>
      <c r="G19" s="39">
        <f t="shared" si="1"/>
        <v>996536</v>
      </c>
      <c r="H19" s="39">
        <f>P19-G19</f>
        <v>0.40000000002328306</v>
      </c>
      <c r="I19" s="53">
        <f>+G19+H19</f>
        <v>996536.4</v>
      </c>
      <c r="J19" s="39">
        <v>0</v>
      </c>
      <c r="K19" s="53">
        <f t="shared" si="8"/>
        <v>0</v>
      </c>
      <c r="L19" s="53">
        <f t="shared" si="9"/>
        <v>0</v>
      </c>
      <c r="M19" s="39">
        <v>0</v>
      </c>
      <c r="N19" s="53">
        <f t="shared" si="18"/>
        <v>0</v>
      </c>
      <c r="O19" s="39">
        <f>$G$54*R19</f>
        <v>996536.4</v>
      </c>
      <c r="P19" s="53">
        <f>+N19+O19</f>
        <v>996536.4</v>
      </c>
      <c r="Q19" s="99">
        <f>+H19/G19</f>
        <v>4.0139041642578197E-7</v>
      </c>
      <c r="R19" s="101">
        <v>2</v>
      </c>
      <c r="S19" s="54"/>
      <c r="T19" s="54"/>
      <c r="U19" s="55"/>
      <c r="V19" s="90"/>
      <c r="W19" s="4"/>
      <c r="X19" s="90"/>
      <c r="Y19" s="4"/>
      <c r="Z19" s="97"/>
      <c r="AA19" s="190">
        <v>0</v>
      </c>
      <c r="AB19" s="190"/>
      <c r="AC19" s="192">
        <f t="shared" si="15"/>
        <v>996536.4</v>
      </c>
      <c r="AD19" s="192">
        <f t="shared" si="16"/>
        <v>996536.4</v>
      </c>
      <c r="AE19" s="175"/>
      <c r="AF19" s="190">
        <v>996536</v>
      </c>
      <c r="AG19" s="190"/>
      <c r="AH19" s="190">
        <v>0</v>
      </c>
      <c r="AI19" s="190">
        <f t="shared" si="17"/>
        <v>996536</v>
      </c>
      <c r="AJ19"/>
      <c r="AK19"/>
      <c r="AL19"/>
      <c r="AM19"/>
      <c r="AN19"/>
      <c r="AO19" s="173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</row>
    <row r="20" spans="1:16381" s="40" customFormat="1" x14ac:dyDescent="0.2">
      <c r="B20" s="51">
        <v>7855</v>
      </c>
      <c r="C20" s="52" t="s">
        <v>28</v>
      </c>
      <c r="D20" s="131">
        <f t="shared" si="5"/>
        <v>550000</v>
      </c>
      <c r="E20" s="131">
        <f t="shared" si="6"/>
        <v>0</v>
      </c>
      <c r="F20" s="131">
        <f t="shared" si="7"/>
        <v>0</v>
      </c>
      <c r="G20" s="39">
        <f t="shared" si="1"/>
        <v>550000</v>
      </c>
      <c r="H20" s="39">
        <f>P20-G20</f>
        <v>-0.29799999995157123</v>
      </c>
      <c r="I20" s="53">
        <f>+G20+H20</f>
        <v>549999.70200000005</v>
      </c>
      <c r="J20" s="39">
        <v>0</v>
      </c>
      <c r="K20" s="53">
        <f t="shared" si="8"/>
        <v>0</v>
      </c>
      <c r="L20" s="53">
        <f t="shared" si="9"/>
        <v>0</v>
      </c>
      <c r="M20" s="39">
        <v>0</v>
      </c>
      <c r="N20" s="53">
        <f t="shared" si="18"/>
        <v>0</v>
      </c>
      <c r="O20" s="39">
        <f>$G$54*R20-3078</f>
        <v>549999.70200000005</v>
      </c>
      <c r="P20" s="53">
        <f>+N20+O20</f>
        <v>549999.70200000005</v>
      </c>
      <c r="Q20" s="99">
        <f t="shared" ref="Q20" si="21">+H20/G20</f>
        <v>-5.4181818173012952E-7</v>
      </c>
      <c r="R20" s="101">
        <v>1.1100000000000001</v>
      </c>
      <c r="S20" s="54"/>
      <c r="T20" s="54"/>
      <c r="U20" s="55"/>
      <c r="V20" s="90"/>
      <c r="W20" s="4"/>
      <c r="X20" s="90"/>
      <c r="Y20" s="4"/>
      <c r="Z20" s="97"/>
      <c r="AA20" s="190">
        <v>0</v>
      </c>
      <c r="AB20" s="190"/>
      <c r="AC20" s="192">
        <f t="shared" si="15"/>
        <v>549999.70200000005</v>
      </c>
      <c r="AD20" s="192">
        <f t="shared" si="16"/>
        <v>549999.70200000005</v>
      </c>
      <c r="AE20" s="175"/>
      <c r="AF20" s="190">
        <v>550000</v>
      </c>
      <c r="AG20" s="190"/>
      <c r="AH20" s="190"/>
      <c r="AI20" s="190">
        <f t="shared" si="17"/>
        <v>550000</v>
      </c>
      <c r="AJ20"/>
      <c r="AK20"/>
      <c r="AL20"/>
      <c r="AM20"/>
      <c r="AN20"/>
      <c r="AO20" s="173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</row>
    <row r="21" spans="1:16381" s="40" customFormat="1" x14ac:dyDescent="0.2">
      <c r="B21" s="51"/>
      <c r="C21" s="52"/>
      <c r="D21" s="52"/>
      <c r="E21" s="52"/>
      <c r="F21" s="131"/>
      <c r="G21" s="39"/>
      <c r="H21" s="39"/>
      <c r="I21" s="53"/>
      <c r="J21" s="53"/>
      <c r="K21" s="53"/>
      <c r="L21" s="53"/>
      <c r="M21" s="39"/>
      <c r="N21" s="53"/>
      <c r="O21" s="39"/>
      <c r="P21" s="53"/>
      <c r="Q21" s="34"/>
      <c r="R21" s="54"/>
      <c r="S21" s="102"/>
      <c r="T21" s="102"/>
      <c r="U21" s="55"/>
      <c r="V21" s="90"/>
      <c r="W21" s="4"/>
      <c r="X21" s="90"/>
      <c r="Y21" s="4"/>
      <c r="Z21"/>
      <c r="AA21" s="173">
        <v>0</v>
      </c>
      <c r="AB21" s="175"/>
      <c r="AC21" s="191"/>
      <c r="AD21" s="191">
        <f t="shared" ref="AD21:AD45" si="22">+AA21-AB21-AC21</f>
        <v>0</v>
      </c>
      <c r="AE21" s="175"/>
      <c r="AF21" s="175"/>
      <c r="AG21" s="175"/>
      <c r="AH21" s="175"/>
      <c r="AI21" s="173">
        <f t="shared" ref="AI21:AI45" si="23">+AF21-AG21-AH21</f>
        <v>0</v>
      </c>
      <c r="AJ21"/>
      <c r="AK21"/>
      <c r="AL21"/>
      <c r="AM21"/>
      <c r="AN21"/>
      <c r="AO21" s="173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</row>
    <row r="22" spans="1:16381" s="46" customFormat="1" x14ac:dyDescent="0.2">
      <c r="B22" s="56" t="s">
        <v>43</v>
      </c>
      <c r="C22" s="57"/>
      <c r="D22" s="58">
        <f>SUM(D4:D20)</f>
        <v>47684562</v>
      </c>
      <c r="E22" s="58">
        <f t="shared" ref="E22:L22" si="24">SUM(E4:E20)</f>
        <v>0</v>
      </c>
      <c r="F22" s="58">
        <f t="shared" si="24"/>
        <v>4735423</v>
      </c>
      <c r="G22" s="58">
        <f t="shared" si="24"/>
        <v>52419985</v>
      </c>
      <c r="H22" s="58">
        <f t="shared" si="24"/>
        <v>10140814.157000002</v>
      </c>
      <c r="I22" s="58">
        <f t="shared" si="24"/>
        <v>62560799.156999998</v>
      </c>
      <c r="J22" s="58">
        <f t="shared" si="24"/>
        <v>15257363</v>
      </c>
      <c r="K22" s="58">
        <f t="shared" si="24"/>
        <v>9147926</v>
      </c>
      <c r="L22" s="58">
        <f t="shared" si="24"/>
        <v>4006503</v>
      </c>
      <c r="M22" s="58">
        <f>SUM(M4:M20)</f>
        <v>13154429</v>
      </c>
      <c r="N22" s="58">
        <f>SUM(N4:N20)</f>
        <v>28411792</v>
      </c>
      <c r="O22" s="58">
        <f>SUM(O4:O20)</f>
        <v>34149007.15699999</v>
      </c>
      <c r="P22" s="58">
        <f>SUM(P4:P20)</f>
        <v>62560799.156999998</v>
      </c>
      <c r="Q22" s="35">
        <f>H22/G22</f>
        <v>0.19345320600530508</v>
      </c>
      <c r="R22" s="59">
        <f>SUM(R4:R21)</f>
        <v>69.209999999999994</v>
      </c>
      <c r="S22" s="59">
        <f>SUM(S4:S21)</f>
        <v>102.78999999999999</v>
      </c>
      <c r="T22" s="59">
        <f>SUM(T4:T21)</f>
        <v>102.38</v>
      </c>
      <c r="U22" s="60"/>
      <c r="V22" s="90">
        <f t="shared" ref="V22:V46" si="25">+O22*0.01</f>
        <v>341490.07156999991</v>
      </c>
      <c r="W22" s="4">
        <f t="shared" si="12"/>
        <v>0.19996770751784843</v>
      </c>
      <c r="X22" s="90">
        <f t="shared" si="13"/>
        <v>682980.14313999983</v>
      </c>
      <c r="Y22" s="4">
        <f t="shared" si="14"/>
        <v>0.20648220903039177</v>
      </c>
      <c r="Z22"/>
      <c r="AA22" s="173">
        <f>SUM(AA4:AA21)</f>
        <v>9147926</v>
      </c>
      <c r="AB22" s="173">
        <f t="shared" ref="AB22:AD22" si="26">SUM(AB4:AB21)</f>
        <v>4006503</v>
      </c>
      <c r="AC22" s="1">
        <f t="shared" si="26"/>
        <v>34149007.15699999</v>
      </c>
      <c r="AD22" s="1">
        <f t="shared" si="26"/>
        <v>47303436.156999998</v>
      </c>
      <c r="AE22" s="175"/>
      <c r="AF22" s="175"/>
      <c r="AG22" s="175"/>
      <c r="AH22" s="175"/>
      <c r="AI22" s="173">
        <f t="shared" si="23"/>
        <v>0</v>
      </c>
      <c r="AJ22"/>
      <c r="AK22"/>
      <c r="AL22"/>
      <c r="AM22"/>
      <c r="AN22"/>
      <c r="AO22" s="173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</row>
    <row r="23" spans="1:16381" s="46" customFormat="1" x14ac:dyDescent="0.2">
      <c r="B23" s="56"/>
      <c r="C23" s="57"/>
      <c r="D23" s="57"/>
      <c r="E23" s="57"/>
      <c r="F23" s="132"/>
      <c r="G23" s="58"/>
      <c r="H23" s="8"/>
      <c r="I23" s="58"/>
      <c r="J23" s="58"/>
      <c r="K23" s="58"/>
      <c r="L23" s="58"/>
      <c r="M23" s="58"/>
      <c r="N23" s="58"/>
      <c r="O23" s="58"/>
      <c r="P23" s="58"/>
      <c r="Q23" s="35"/>
      <c r="R23" s="59"/>
      <c r="S23" s="59"/>
      <c r="T23" s="59"/>
      <c r="U23" s="60"/>
      <c r="V23" s="90"/>
      <c r="W23" s="4"/>
      <c r="X23" s="90"/>
      <c r="Y23" s="4"/>
      <c r="Z23"/>
      <c r="AA23" s="173"/>
      <c r="AB23" s="175"/>
      <c r="AC23" s="191"/>
      <c r="AD23" s="191">
        <f t="shared" si="22"/>
        <v>0</v>
      </c>
      <c r="AE23" s="175"/>
      <c r="AF23" s="175"/>
      <c r="AG23" s="175"/>
      <c r="AH23" s="175"/>
      <c r="AI23" s="173">
        <f t="shared" si="23"/>
        <v>0</v>
      </c>
      <c r="AJ23"/>
      <c r="AK23"/>
      <c r="AL23"/>
      <c r="AM23"/>
      <c r="AN23"/>
      <c r="AO23" s="17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</row>
    <row r="24" spans="1:16381" s="40" customFormat="1" x14ac:dyDescent="0.2">
      <c r="A24" s="40">
        <v>2200</v>
      </c>
      <c r="B24" s="51">
        <v>2200</v>
      </c>
      <c r="C24" s="52" t="s">
        <v>41</v>
      </c>
      <c r="D24" s="131">
        <f t="shared" ref="D24" si="27">+AF24</f>
        <v>295317</v>
      </c>
      <c r="E24" s="131">
        <f t="shared" ref="E24" si="28">+AG24</f>
        <v>0</v>
      </c>
      <c r="F24" s="131">
        <f t="shared" ref="F24" si="29">+AH24</f>
        <v>16370</v>
      </c>
      <c r="G24" s="39">
        <f t="shared" ref="G24:G31" si="30">SUM(D24:F24)</f>
        <v>311687</v>
      </c>
      <c r="H24" s="39">
        <f t="shared" ref="H24:H30" si="31">P24-G24</f>
        <v>84311.919999999984</v>
      </c>
      <c r="I24" s="53">
        <f t="shared" ref="I24:I30" si="32">+G24+H24</f>
        <v>395998.92</v>
      </c>
      <c r="J24" s="53">
        <v>95996</v>
      </c>
      <c r="K24" s="53">
        <f t="shared" ref="K24" si="33">+AA24</f>
        <v>1042</v>
      </c>
      <c r="L24" s="53">
        <f t="shared" ref="L24" si="34">+AB24</f>
        <v>0</v>
      </c>
      <c r="M24" s="53">
        <f>+K24+L24</f>
        <v>1042</v>
      </c>
      <c r="N24" s="53">
        <f t="shared" ref="N24:N30" si="35">+J24+M24</f>
        <v>97038</v>
      </c>
      <c r="O24" s="39">
        <f t="shared" ref="O24:O30" si="36">$G$54*R24</f>
        <v>298960.92</v>
      </c>
      <c r="P24" s="53">
        <f t="shared" ref="P24:P30" si="37">+N24+O24</f>
        <v>395998.92</v>
      </c>
      <c r="Q24" s="99">
        <f t="shared" ref="Q24:Q34" si="38">H24/G24</f>
        <v>0.27050188169541872</v>
      </c>
      <c r="R24" s="54">
        <v>0.6</v>
      </c>
      <c r="S24" s="54">
        <v>0.5</v>
      </c>
      <c r="T24" s="54">
        <v>0.75</v>
      </c>
      <c r="U24" s="55"/>
      <c r="V24" s="90">
        <f t="shared" si="25"/>
        <v>2989.6091999999999</v>
      </c>
      <c r="W24" s="4">
        <f t="shared" si="12"/>
        <v>0.28009358491050312</v>
      </c>
      <c r="X24" s="90">
        <f t="shared" si="13"/>
        <v>5979.2183999999997</v>
      </c>
      <c r="Y24" s="4">
        <f t="shared" si="14"/>
        <v>0.28968528812558747</v>
      </c>
      <c r="Z24"/>
      <c r="AA24" s="187">
        <v>1042</v>
      </c>
      <c r="AB24" s="187"/>
      <c r="AC24" s="192">
        <f t="shared" ref="AC24:AC31" si="39">+O24</f>
        <v>298960.92</v>
      </c>
      <c r="AD24" s="192">
        <f t="shared" ref="AD24:AD31" si="40">SUM(AA24:AC24)</f>
        <v>300002.92</v>
      </c>
      <c r="AE24" s="175"/>
      <c r="AF24" s="187">
        <v>295317</v>
      </c>
      <c r="AG24" s="187"/>
      <c r="AH24" s="187">
        <v>16370</v>
      </c>
      <c r="AI24" s="190">
        <f t="shared" ref="AI24:AI31" si="41">SUM(AF24:AH24)</f>
        <v>311687</v>
      </c>
      <c r="AJ24"/>
      <c r="AK24"/>
      <c r="AL24"/>
      <c r="AM24"/>
      <c r="AN24"/>
      <c r="AO24" s="173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</row>
    <row r="25" spans="1:16381" s="40" customFormat="1" x14ac:dyDescent="0.2">
      <c r="A25" s="40">
        <v>2272</v>
      </c>
      <c r="B25" s="51">
        <v>2272</v>
      </c>
      <c r="C25" s="52" t="s">
        <v>19</v>
      </c>
      <c r="D25" s="131">
        <f t="shared" ref="D25:D31" si="42">+AF25</f>
        <v>457950</v>
      </c>
      <c r="E25" s="131">
        <f t="shared" ref="E25:E31" si="43">+AG25</f>
        <v>0</v>
      </c>
      <c r="F25" s="131">
        <f t="shared" ref="F25:F31" si="44">+AH25</f>
        <v>27755</v>
      </c>
      <c r="G25" s="39">
        <f t="shared" si="30"/>
        <v>485705</v>
      </c>
      <c r="H25" s="39">
        <f t="shared" si="31"/>
        <v>119949.19999999995</v>
      </c>
      <c r="I25" s="53">
        <f>+G25+H25</f>
        <v>605654.19999999995</v>
      </c>
      <c r="J25" s="53">
        <v>106625</v>
      </c>
      <c r="K25" s="53">
        <f t="shared" ref="K25:K31" si="45">+AA25</f>
        <v>761</v>
      </c>
      <c r="L25" s="53">
        <f t="shared" ref="L25:L31" si="46">+AB25</f>
        <v>0</v>
      </c>
      <c r="M25" s="53">
        <f t="shared" ref="M25:M31" si="47">+K25+L25</f>
        <v>761</v>
      </c>
      <c r="N25" s="53">
        <f t="shared" si="35"/>
        <v>107386</v>
      </c>
      <c r="O25" s="39">
        <f t="shared" si="36"/>
        <v>498268.2</v>
      </c>
      <c r="P25" s="53">
        <f t="shared" si="37"/>
        <v>605654.19999999995</v>
      </c>
      <c r="Q25" s="99">
        <f t="shared" si="38"/>
        <v>0.24695895656828723</v>
      </c>
      <c r="R25" s="54">
        <v>1</v>
      </c>
      <c r="S25" s="54">
        <v>1</v>
      </c>
      <c r="T25" s="54">
        <v>1</v>
      </c>
      <c r="U25" s="55"/>
      <c r="V25" s="90">
        <f t="shared" si="25"/>
        <v>4982.6819999999998</v>
      </c>
      <c r="W25" s="4">
        <f t="shared" si="12"/>
        <v>0.25721761563088696</v>
      </c>
      <c r="X25" s="90">
        <f t="shared" si="13"/>
        <v>9965.3639999999996</v>
      </c>
      <c r="Y25" s="4">
        <f t="shared" si="14"/>
        <v>0.26747627469348667</v>
      </c>
      <c r="Z25"/>
      <c r="AA25" s="187">
        <v>761</v>
      </c>
      <c r="AB25" s="187"/>
      <c r="AC25" s="192">
        <f t="shared" si="39"/>
        <v>498268.2</v>
      </c>
      <c r="AD25" s="192">
        <f t="shared" si="40"/>
        <v>499029.2</v>
      </c>
      <c r="AE25" s="175"/>
      <c r="AF25" s="187">
        <v>457950</v>
      </c>
      <c r="AG25" s="187"/>
      <c r="AH25" s="187">
        <v>27755</v>
      </c>
      <c r="AI25" s="190">
        <f t="shared" si="41"/>
        <v>485705</v>
      </c>
      <c r="AJ25"/>
      <c r="AK25"/>
      <c r="AL25"/>
      <c r="AM25"/>
      <c r="AN25"/>
      <c r="AO25" s="173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</row>
    <row r="26" spans="1:16381" s="40" customFormat="1" x14ac:dyDescent="0.2">
      <c r="A26" s="40">
        <v>2273</v>
      </c>
      <c r="B26" s="51">
        <v>2273</v>
      </c>
      <c r="C26" s="52" t="s">
        <v>25</v>
      </c>
      <c r="D26" s="131">
        <f t="shared" si="42"/>
        <v>997855</v>
      </c>
      <c r="E26" s="131">
        <f t="shared" si="43"/>
        <v>0</v>
      </c>
      <c r="F26" s="131">
        <f t="shared" si="44"/>
        <v>0</v>
      </c>
      <c r="G26" s="39">
        <f t="shared" si="30"/>
        <v>997855</v>
      </c>
      <c r="H26" s="39">
        <f t="shared" si="31"/>
        <v>139185.39999999991</v>
      </c>
      <c r="I26" s="53">
        <f t="shared" si="32"/>
        <v>1137040.3999999999</v>
      </c>
      <c r="J26" s="53">
        <v>139185</v>
      </c>
      <c r="K26" s="53">
        <f t="shared" si="45"/>
        <v>1319</v>
      </c>
      <c r="L26" s="53">
        <f t="shared" si="46"/>
        <v>0</v>
      </c>
      <c r="M26" s="53">
        <f t="shared" si="47"/>
        <v>1319</v>
      </c>
      <c r="N26" s="53">
        <f t="shared" si="35"/>
        <v>140504</v>
      </c>
      <c r="O26" s="39">
        <f t="shared" si="36"/>
        <v>996536.4</v>
      </c>
      <c r="P26" s="53">
        <f t="shared" si="37"/>
        <v>1137040.3999999999</v>
      </c>
      <c r="Q26" s="99">
        <f t="shared" si="38"/>
        <v>0.13948459445510611</v>
      </c>
      <c r="R26" s="54">
        <v>2</v>
      </c>
      <c r="S26" s="54">
        <v>2</v>
      </c>
      <c r="T26" s="54">
        <v>2</v>
      </c>
      <c r="U26" s="55"/>
      <c r="V26" s="90">
        <f t="shared" si="25"/>
        <v>9965.3639999999996</v>
      </c>
      <c r="W26" s="4">
        <f t="shared" si="12"/>
        <v>0.14947138011033659</v>
      </c>
      <c r="X26" s="90">
        <f t="shared" si="13"/>
        <v>19930.727999999999</v>
      </c>
      <c r="Y26" s="4">
        <f t="shared" si="14"/>
        <v>0.15945816576556704</v>
      </c>
      <c r="Z26"/>
      <c r="AA26" s="187">
        <v>1319</v>
      </c>
      <c r="AB26" s="187"/>
      <c r="AC26" s="192">
        <f t="shared" si="39"/>
        <v>996536.4</v>
      </c>
      <c r="AD26" s="192">
        <f t="shared" si="40"/>
        <v>997855.4</v>
      </c>
      <c r="AE26" s="175"/>
      <c r="AF26" s="187">
        <v>997855</v>
      </c>
      <c r="AG26" s="187"/>
      <c r="AH26" s="187">
        <v>0</v>
      </c>
      <c r="AI26" s="190">
        <f t="shared" si="41"/>
        <v>997855</v>
      </c>
      <c r="AJ26"/>
      <c r="AK26"/>
      <c r="AL26"/>
      <c r="AM26"/>
      <c r="AN26"/>
      <c r="AO26" s="173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</row>
    <row r="27" spans="1:16381" s="40" customFormat="1" x14ac:dyDescent="0.2">
      <c r="A27" s="40">
        <v>2372</v>
      </c>
      <c r="B27" s="51">
        <v>2372</v>
      </c>
      <c r="C27" s="52" t="s">
        <v>24</v>
      </c>
      <c r="D27" s="131">
        <f t="shared" si="42"/>
        <v>0</v>
      </c>
      <c r="E27" s="131">
        <f t="shared" si="43"/>
        <v>0</v>
      </c>
      <c r="F27" s="131">
        <f t="shared" si="44"/>
        <v>3909118</v>
      </c>
      <c r="G27" s="39">
        <f t="shared" si="30"/>
        <v>3909118</v>
      </c>
      <c r="H27" s="39">
        <f t="shared" si="31"/>
        <v>-0.99399999994784594</v>
      </c>
      <c r="I27" s="53">
        <f t="shared" si="32"/>
        <v>3909117.0060000001</v>
      </c>
      <c r="J27" s="53">
        <v>0</v>
      </c>
      <c r="K27" s="53">
        <f t="shared" si="45"/>
        <v>7677</v>
      </c>
      <c r="L27" s="53">
        <f t="shared" si="46"/>
        <v>0</v>
      </c>
      <c r="M27" s="53">
        <f t="shared" si="47"/>
        <v>7677</v>
      </c>
      <c r="N27" s="53">
        <f t="shared" si="35"/>
        <v>7677</v>
      </c>
      <c r="O27" s="39">
        <f>$G$54*R27</f>
        <v>3901440.0060000001</v>
      </c>
      <c r="P27" s="53">
        <f t="shared" si="37"/>
        <v>3909117.0060000001</v>
      </c>
      <c r="Q27" s="99">
        <f t="shared" si="38"/>
        <v>-2.5427730755322453E-7</v>
      </c>
      <c r="R27" s="54">
        <v>7.83</v>
      </c>
      <c r="S27" s="54">
        <v>8.98</v>
      </c>
      <c r="T27" s="54">
        <v>5</v>
      </c>
      <c r="U27" s="55"/>
      <c r="V27" s="90">
        <f t="shared" si="25"/>
        <v>39014.40006</v>
      </c>
      <c r="W27" s="4">
        <f t="shared" si="12"/>
        <v>9.9801044788108348E-3</v>
      </c>
      <c r="X27" s="90">
        <f t="shared" si="13"/>
        <v>78028.80012</v>
      </c>
      <c r="Y27" s="4">
        <f t="shared" si="14"/>
        <v>1.9960463234929223E-2</v>
      </c>
      <c r="Z27"/>
      <c r="AA27" s="187">
        <v>7677</v>
      </c>
      <c r="AB27" s="187"/>
      <c r="AC27" s="192">
        <f t="shared" si="39"/>
        <v>3901440.0060000001</v>
      </c>
      <c r="AD27" s="192">
        <f t="shared" si="40"/>
        <v>3909117.0060000001</v>
      </c>
      <c r="AE27" s="175"/>
      <c r="AF27" s="187">
        <v>0</v>
      </c>
      <c r="AG27" s="187"/>
      <c r="AH27" s="187">
        <v>3909118</v>
      </c>
      <c r="AI27" s="190">
        <f t="shared" si="41"/>
        <v>3909118</v>
      </c>
      <c r="AJ27"/>
      <c r="AK27"/>
      <c r="AL27"/>
      <c r="AM27"/>
      <c r="AN27"/>
      <c r="AO27" s="173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</row>
    <row r="28" spans="1:16381" s="40" customFormat="1" x14ac:dyDescent="0.2">
      <c r="B28" s="51">
        <v>2370</v>
      </c>
      <c r="C28" s="52" t="s">
        <v>258</v>
      </c>
      <c r="D28" s="131">
        <f t="shared" si="42"/>
        <v>229203</v>
      </c>
      <c r="E28" s="131">
        <f t="shared" si="43"/>
        <v>0</v>
      </c>
      <c r="F28" s="131">
        <f t="shared" si="44"/>
        <v>0</v>
      </c>
      <c r="G28" s="39">
        <f t="shared" si="30"/>
        <v>229203</v>
      </c>
      <c r="H28" s="39">
        <f t="shared" si="31"/>
        <v>0.3720000000030268</v>
      </c>
      <c r="I28" s="53">
        <f t="shared" si="32"/>
        <v>229203.372</v>
      </c>
      <c r="J28" s="53">
        <v>0</v>
      </c>
      <c r="K28" s="53">
        <f t="shared" si="45"/>
        <v>0</v>
      </c>
      <c r="L28" s="53">
        <f t="shared" si="46"/>
        <v>0</v>
      </c>
      <c r="M28" s="53">
        <f t="shared" si="47"/>
        <v>0</v>
      </c>
      <c r="N28" s="53">
        <f t="shared" si="35"/>
        <v>0</v>
      </c>
      <c r="O28" s="39">
        <f>$G$54*R28</f>
        <v>229203.372</v>
      </c>
      <c r="P28" s="53">
        <f t="shared" si="37"/>
        <v>229203.372</v>
      </c>
      <c r="Q28" s="99">
        <f>H28/G28</f>
        <v>1.6230154055707247E-6</v>
      </c>
      <c r="R28" s="54">
        <v>0.46</v>
      </c>
      <c r="S28" s="54"/>
      <c r="T28" s="54"/>
      <c r="U28" s="55"/>
      <c r="V28" s="90"/>
      <c r="W28" s="4"/>
      <c r="X28" s="90"/>
      <c r="Y28" s="4"/>
      <c r="Z28"/>
      <c r="AA28" s="187">
        <v>0</v>
      </c>
      <c r="AB28" s="187"/>
      <c r="AC28" s="192">
        <f t="shared" si="39"/>
        <v>229203.372</v>
      </c>
      <c r="AD28" s="192">
        <f t="shared" si="40"/>
        <v>229203.372</v>
      </c>
      <c r="AE28" s="173"/>
      <c r="AF28" s="187">
        <v>229203</v>
      </c>
      <c r="AG28" s="187"/>
      <c r="AH28" s="187">
        <v>0</v>
      </c>
      <c r="AI28" s="190">
        <f t="shared" si="41"/>
        <v>229203</v>
      </c>
      <c r="AJ28"/>
      <c r="AK28"/>
      <c r="AL28"/>
      <c r="AM28"/>
      <c r="AN28"/>
      <c r="AO28" s="173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</row>
    <row r="29" spans="1:16381" s="40" customFormat="1" x14ac:dyDescent="0.2">
      <c r="A29" s="40">
        <v>2382</v>
      </c>
      <c r="B29" s="51">
        <v>2382</v>
      </c>
      <c r="C29" s="52" t="s">
        <v>13</v>
      </c>
      <c r="D29" s="131">
        <f t="shared" si="42"/>
        <v>381757</v>
      </c>
      <c r="E29" s="131">
        <f t="shared" si="43"/>
        <v>0</v>
      </c>
      <c r="F29" s="131">
        <f t="shared" si="44"/>
        <v>118333</v>
      </c>
      <c r="G29" s="39">
        <f t="shared" si="30"/>
        <v>500090</v>
      </c>
      <c r="H29" s="39">
        <f t="shared" si="31"/>
        <v>161436.19999999995</v>
      </c>
      <c r="I29" s="53">
        <f t="shared" si="32"/>
        <v>661526.19999999995</v>
      </c>
      <c r="J29" s="53">
        <v>141461</v>
      </c>
      <c r="K29" s="53">
        <f t="shared" si="45"/>
        <v>21797</v>
      </c>
      <c r="L29" s="53">
        <f t="shared" si="46"/>
        <v>0</v>
      </c>
      <c r="M29" s="53">
        <f t="shared" si="47"/>
        <v>21797</v>
      </c>
      <c r="N29" s="53">
        <f t="shared" si="35"/>
        <v>163258</v>
      </c>
      <c r="O29" s="39">
        <f t="shared" si="36"/>
        <v>498268.2</v>
      </c>
      <c r="P29" s="53">
        <f t="shared" si="37"/>
        <v>661526.19999999995</v>
      </c>
      <c r="Q29" s="99">
        <f t="shared" si="38"/>
        <v>0.32281429342718304</v>
      </c>
      <c r="R29" s="54">
        <v>1</v>
      </c>
      <c r="S29" s="54">
        <v>1</v>
      </c>
      <c r="T29" s="54">
        <v>1</v>
      </c>
      <c r="U29" s="55"/>
      <c r="V29" s="90">
        <f t="shared" si="25"/>
        <v>4982.6819999999998</v>
      </c>
      <c r="W29" s="4">
        <f t="shared" si="12"/>
        <v>0.33277786398448272</v>
      </c>
      <c r="X29" s="90">
        <f t="shared" si="13"/>
        <v>9965.3639999999996</v>
      </c>
      <c r="Y29" s="4">
        <f t="shared" si="14"/>
        <v>0.34274143454178241</v>
      </c>
      <c r="Z29"/>
      <c r="AA29" s="187">
        <v>21797</v>
      </c>
      <c r="AB29" s="187"/>
      <c r="AC29" s="192">
        <f t="shared" si="39"/>
        <v>498268.2</v>
      </c>
      <c r="AD29" s="192">
        <f t="shared" si="40"/>
        <v>520065.2</v>
      </c>
      <c r="AE29" s="173"/>
      <c r="AF29" s="187">
        <v>381757</v>
      </c>
      <c r="AG29" s="187"/>
      <c r="AH29" s="187">
        <v>118333</v>
      </c>
      <c r="AI29" s="190">
        <f t="shared" si="41"/>
        <v>500090</v>
      </c>
      <c r="AJ29"/>
      <c r="AK29"/>
      <c r="AL29"/>
      <c r="AM29"/>
      <c r="AN29"/>
      <c r="AO29" s="173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</row>
    <row r="30" spans="1:16381" s="40" customFormat="1" x14ac:dyDescent="0.2">
      <c r="A30" s="40">
        <v>2990</v>
      </c>
      <c r="B30" s="51">
        <v>2990</v>
      </c>
      <c r="C30" s="52" t="s">
        <v>1</v>
      </c>
      <c r="D30" s="131">
        <f t="shared" si="42"/>
        <v>1678881</v>
      </c>
      <c r="E30" s="131">
        <f t="shared" si="43"/>
        <v>497434</v>
      </c>
      <c r="F30" s="131">
        <f t="shared" si="44"/>
        <v>0</v>
      </c>
      <c r="G30" s="39">
        <f t="shared" si="30"/>
        <v>2176315</v>
      </c>
      <c r="H30" s="39">
        <f t="shared" si="31"/>
        <v>923419.05800000019</v>
      </c>
      <c r="I30" s="53">
        <f t="shared" si="32"/>
        <v>3099734.0580000002</v>
      </c>
      <c r="J30" s="53">
        <v>899636</v>
      </c>
      <c r="K30" s="53">
        <f t="shared" si="45"/>
        <v>1856293</v>
      </c>
      <c r="L30" s="53">
        <f t="shared" si="46"/>
        <v>0</v>
      </c>
      <c r="M30" s="53">
        <f t="shared" si="47"/>
        <v>1856293</v>
      </c>
      <c r="N30" s="53">
        <f t="shared" si="35"/>
        <v>2755929</v>
      </c>
      <c r="O30" s="39">
        <f t="shared" si="36"/>
        <v>343805.05799999996</v>
      </c>
      <c r="P30" s="53">
        <f t="shared" si="37"/>
        <v>3099734.0580000002</v>
      </c>
      <c r="Q30" s="99">
        <f>H30/G30</f>
        <v>0.42430395324206294</v>
      </c>
      <c r="R30" s="54">
        <v>0.69</v>
      </c>
      <c r="S30" s="54">
        <v>1</v>
      </c>
      <c r="T30" s="54">
        <v>1</v>
      </c>
      <c r="U30" s="55"/>
      <c r="V30" s="90">
        <f t="shared" si="25"/>
        <v>3438.0505799999996</v>
      </c>
      <c r="W30" s="4">
        <f t="shared" si="12"/>
        <v>0.42588371103447809</v>
      </c>
      <c r="X30" s="90">
        <f t="shared" si="13"/>
        <v>6876.1011599999993</v>
      </c>
      <c r="Y30" s="4">
        <f t="shared" si="14"/>
        <v>0.42746346882689323</v>
      </c>
      <c r="Z30"/>
      <c r="AA30" s="187">
        <v>1856293</v>
      </c>
      <c r="AB30" s="187"/>
      <c r="AC30" s="192">
        <f>+O30</f>
        <v>343805.05799999996</v>
      </c>
      <c r="AD30" s="192">
        <f t="shared" si="40"/>
        <v>2200098.0580000002</v>
      </c>
      <c r="AE30" s="173"/>
      <c r="AF30" s="187">
        <v>1678881</v>
      </c>
      <c r="AG30" s="187">
        <v>497434</v>
      </c>
      <c r="AH30" s="187">
        <v>0</v>
      </c>
      <c r="AI30" s="190">
        <f t="shared" si="41"/>
        <v>2176315</v>
      </c>
      <c r="AJ30"/>
      <c r="AK30"/>
      <c r="AL30"/>
      <c r="AM30"/>
      <c r="AN30"/>
      <c r="AO30" s="173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</row>
    <row r="31" spans="1:16381" s="40" customFormat="1" x14ac:dyDescent="0.2">
      <c r="A31" s="40">
        <v>3001</v>
      </c>
      <c r="B31" s="126" t="s">
        <v>209</v>
      </c>
      <c r="C31" s="52" t="s">
        <v>210</v>
      </c>
      <c r="D31" s="131">
        <f t="shared" si="42"/>
        <v>474500</v>
      </c>
      <c r="E31" s="131">
        <f t="shared" si="43"/>
        <v>0</v>
      </c>
      <c r="F31" s="131">
        <f t="shared" si="44"/>
        <v>0</v>
      </c>
      <c r="G31" s="39">
        <f t="shared" si="30"/>
        <v>474500</v>
      </c>
      <c r="H31" s="39">
        <f t="shared" ref="H31" si="48">P31-G31</f>
        <v>454769.06200000003</v>
      </c>
      <c r="I31" s="53">
        <f t="shared" ref="I31" si="49">+G31+H31</f>
        <v>929269.06200000003</v>
      </c>
      <c r="J31" s="53">
        <v>461775</v>
      </c>
      <c r="K31" s="53">
        <f t="shared" si="45"/>
        <v>14070</v>
      </c>
      <c r="L31" s="53">
        <f t="shared" si="46"/>
        <v>0</v>
      </c>
      <c r="M31" s="53">
        <f t="shared" si="47"/>
        <v>14070</v>
      </c>
      <c r="N31" s="53">
        <f>+J31+M31</f>
        <v>475845</v>
      </c>
      <c r="O31" s="39">
        <f>$G$54*R31</f>
        <v>453424.06200000003</v>
      </c>
      <c r="P31" s="53">
        <f>+N31+O31</f>
        <v>929269.06200000003</v>
      </c>
      <c r="Q31" s="99">
        <f>H31/G31</f>
        <v>0.95841741201264496</v>
      </c>
      <c r="R31" s="54">
        <v>0.91</v>
      </c>
      <c r="S31" s="54">
        <f>1.6+0.28</f>
        <v>1.8800000000000001</v>
      </c>
      <c r="T31" s="54">
        <f>1.57+0.45+0.05</f>
        <v>2.0699999999999998</v>
      </c>
      <c r="U31" s="55"/>
      <c r="V31" s="90">
        <f t="shared" si="25"/>
        <v>4534.2406200000005</v>
      </c>
      <c r="W31" s="4">
        <f t="shared" si="12"/>
        <v>0.9679732405057957</v>
      </c>
      <c r="X31" s="90">
        <f t="shared" si="13"/>
        <v>9068.481240000001</v>
      </c>
      <c r="Y31" s="4">
        <f t="shared" si="14"/>
        <v>0.97752906899894632</v>
      </c>
      <c r="Z31"/>
      <c r="AA31" s="187">
        <v>14070</v>
      </c>
      <c r="AB31" s="187"/>
      <c r="AC31" s="192">
        <f t="shared" si="39"/>
        <v>453424.06200000003</v>
      </c>
      <c r="AD31" s="192">
        <f t="shared" si="40"/>
        <v>467494.06200000003</v>
      </c>
      <c r="AE31" s="173"/>
      <c r="AF31" s="187">
        <v>474500</v>
      </c>
      <c r="AG31" s="187"/>
      <c r="AH31" s="187">
        <v>0</v>
      </c>
      <c r="AI31" s="190">
        <f t="shared" si="41"/>
        <v>474500</v>
      </c>
      <c r="AJ31"/>
      <c r="AK31"/>
      <c r="AL31"/>
      <c r="AM31"/>
      <c r="AN31"/>
      <c r="AO31" s="173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</row>
    <row r="32" spans="1:16381" s="46" customFormat="1" x14ac:dyDescent="0.2">
      <c r="B32" s="65" t="s">
        <v>257</v>
      </c>
      <c r="C32" s="57"/>
      <c r="D32" s="8">
        <f t="shared" ref="D32:P32" si="50">SUM(D24:D31)</f>
        <v>4515463</v>
      </c>
      <c r="E32" s="8">
        <f t="shared" si="50"/>
        <v>497434</v>
      </c>
      <c r="F32" s="133">
        <f t="shared" si="50"/>
        <v>4071576</v>
      </c>
      <c r="G32" s="8">
        <f t="shared" si="50"/>
        <v>9084473</v>
      </c>
      <c r="H32" s="8">
        <f t="shared" si="50"/>
        <v>1883070.2179999999</v>
      </c>
      <c r="I32" s="8">
        <f t="shared" si="50"/>
        <v>10967543.218</v>
      </c>
      <c r="J32" s="8">
        <f t="shared" si="50"/>
        <v>1844678</v>
      </c>
      <c r="K32" s="8">
        <f t="shared" si="50"/>
        <v>1902959</v>
      </c>
      <c r="L32" s="8">
        <f t="shared" si="50"/>
        <v>0</v>
      </c>
      <c r="M32" s="8">
        <f>SUM(M24:M31)</f>
        <v>1902959</v>
      </c>
      <c r="N32" s="8">
        <f>SUM(N24:N31)</f>
        <v>3747637</v>
      </c>
      <c r="O32" s="8">
        <f>SUM(O24:O31)</f>
        <v>7219906.2180000013</v>
      </c>
      <c r="P32" s="8">
        <f t="shared" si="50"/>
        <v>10967543.218</v>
      </c>
      <c r="Q32" s="35">
        <f t="shared" si="38"/>
        <v>0.20728447516988602</v>
      </c>
      <c r="R32" s="100">
        <f>SUM(R24:R31)</f>
        <v>14.49</v>
      </c>
      <c r="S32" s="100">
        <f>SUM(S24:S31)</f>
        <v>16.36</v>
      </c>
      <c r="T32" s="100">
        <f>SUM(T24:T31)</f>
        <v>12.82</v>
      </c>
      <c r="U32" s="60"/>
      <c r="V32" s="90">
        <f t="shared" si="25"/>
        <v>72199.062180000008</v>
      </c>
      <c r="W32" s="4">
        <f t="shared" si="12"/>
        <v>0.21523199861786146</v>
      </c>
      <c r="X32" s="90">
        <f t="shared" si="13"/>
        <v>144398.12436000002</v>
      </c>
      <c r="Y32" s="4">
        <f t="shared" si="14"/>
        <v>0.22317952206583694</v>
      </c>
      <c r="Z32"/>
      <c r="AA32" s="173"/>
      <c r="AB32" s="173"/>
      <c r="AC32" s="1"/>
      <c r="AD32" s="1">
        <f t="shared" si="22"/>
        <v>0</v>
      </c>
      <c r="AE32" s="173"/>
      <c r="AF32" s="173"/>
      <c r="AG32" s="173"/>
      <c r="AH32" s="173"/>
      <c r="AI32" s="173">
        <f t="shared" si="23"/>
        <v>0</v>
      </c>
      <c r="AJ32"/>
      <c r="AK32"/>
      <c r="AL32"/>
      <c r="AM32"/>
      <c r="AN32"/>
      <c r="AO32" s="173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</row>
    <row r="33" spans="1:16381" s="40" customFormat="1" x14ac:dyDescent="0.2">
      <c r="B33" s="51"/>
      <c r="C33" s="52"/>
      <c r="D33" s="52"/>
      <c r="E33" s="52"/>
      <c r="F33" s="131"/>
      <c r="G33" s="97"/>
      <c r="H33" s="97"/>
      <c r="I33" s="98"/>
      <c r="J33" s="98"/>
      <c r="K33" s="98"/>
      <c r="L33" s="98"/>
      <c r="M33" s="97"/>
      <c r="N33" s="98"/>
      <c r="O33" s="97"/>
      <c r="P33" s="98"/>
      <c r="Q33" s="35"/>
      <c r="R33" s="101"/>
      <c r="S33" s="101"/>
      <c r="T33" s="101"/>
      <c r="V33" s="90"/>
      <c r="W33" s="4"/>
      <c r="X33" s="90"/>
      <c r="Y33" s="4"/>
      <c r="Z33"/>
      <c r="AA33" s="173"/>
      <c r="AB33" s="173"/>
      <c r="AC33" s="1"/>
      <c r="AD33" s="1">
        <f t="shared" si="22"/>
        <v>0</v>
      </c>
      <c r="AE33" s="173"/>
      <c r="AF33" s="173"/>
      <c r="AG33" s="173"/>
      <c r="AH33" s="173"/>
      <c r="AI33" s="173">
        <f t="shared" si="23"/>
        <v>0</v>
      </c>
      <c r="AJ33"/>
      <c r="AK33"/>
      <c r="AL33"/>
      <c r="AM33"/>
      <c r="AN33"/>
      <c r="AO33" s="17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</row>
    <row r="34" spans="1:16381" s="46" customFormat="1" x14ac:dyDescent="0.2">
      <c r="B34" s="65" t="s">
        <v>42</v>
      </c>
      <c r="C34" s="57"/>
      <c r="D34" s="8">
        <f>D22+D32</f>
        <v>52200025</v>
      </c>
      <c r="E34" s="8">
        <f>E22+E32</f>
        <v>497434</v>
      </c>
      <c r="F34" s="8">
        <f t="shared" ref="F34:R34" si="51">F22+F32</f>
        <v>8806999</v>
      </c>
      <c r="G34" s="8">
        <f t="shared" si="51"/>
        <v>61504458</v>
      </c>
      <c r="H34" s="8">
        <f t="shared" si="51"/>
        <v>12023884.375000002</v>
      </c>
      <c r="I34" s="8">
        <f t="shared" si="51"/>
        <v>73528342.375</v>
      </c>
      <c r="J34" s="8">
        <f t="shared" si="51"/>
        <v>17102041</v>
      </c>
      <c r="K34" s="8">
        <f t="shared" si="51"/>
        <v>11050885</v>
      </c>
      <c r="L34" s="8">
        <f t="shared" si="51"/>
        <v>4006503</v>
      </c>
      <c r="M34" s="8">
        <f t="shared" si="51"/>
        <v>15057388</v>
      </c>
      <c r="N34" s="8">
        <f t="shared" si="51"/>
        <v>32159429</v>
      </c>
      <c r="O34" s="8">
        <f t="shared" si="51"/>
        <v>41368913.374999993</v>
      </c>
      <c r="P34" s="8">
        <f t="shared" si="51"/>
        <v>73528342.375</v>
      </c>
      <c r="Q34" s="35">
        <f t="shared" si="38"/>
        <v>0.19549614395431306</v>
      </c>
      <c r="R34" s="139">
        <f t="shared" si="51"/>
        <v>83.699999999999989</v>
      </c>
      <c r="S34" s="100" t="e">
        <f>S22+#REF!+S32</f>
        <v>#REF!</v>
      </c>
      <c r="T34" s="100" t="e">
        <f>T22+#REF!+T32</f>
        <v>#REF!</v>
      </c>
      <c r="V34" s="90">
        <f t="shared" si="25"/>
        <v>413689.13374999992</v>
      </c>
      <c r="W34" s="4">
        <f t="shared" si="12"/>
        <v>0.20222230897067658</v>
      </c>
      <c r="X34" s="90">
        <f t="shared" si="13"/>
        <v>827378.26749999984</v>
      </c>
      <c r="Y34" s="4">
        <f t="shared" si="14"/>
        <v>0.20894847398704011</v>
      </c>
      <c r="Z34"/>
      <c r="AA34" s="173"/>
      <c r="AB34" s="173"/>
      <c r="AC34" s="1"/>
      <c r="AD34" s="1">
        <f t="shared" si="22"/>
        <v>0</v>
      </c>
      <c r="AE34" s="173"/>
      <c r="AF34" s="173"/>
      <c r="AG34" s="173"/>
      <c r="AH34" s="173"/>
      <c r="AI34" s="173">
        <f t="shared" si="23"/>
        <v>0</v>
      </c>
      <c r="AJ34"/>
      <c r="AK34"/>
      <c r="AL34"/>
      <c r="AM34"/>
      <c r="AN34"/>
      <c r="AO34" s="173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</row>
    <row r="35" spans="1:16381" s="40" customFormat="1" x14ac:dyDescent="0.2">
      <c r="B35" s="51"/>
      <c r="C35" s="52"/>
      <c r="D35" s="52"/>
      <c r="E35" s="52"/>
      <c r="F35" s="131"/>
      <c r="G35" s="97"/>
      <c r="H35" s="97"/>
      <c r="I35" s="98"/>
      <c r="J35" s="98"/>
      <c r="K35" s="98"/>
      <c r="L35" s="98"/>
      <c r="M35" s="97"/>
      <c r="N35" s="98"/>
      <c r="O35" s="97"/>
      <c r="P35" s="98"/>
      <c r="Q35" s="35"/>
      <c r="R35" s="100"/>
      <c r="S35" s="100"/>
      <c r="T35" s="100"/>
      <c r="V35" s="90"/>
      <c r="W35" s="4"/>
      <c r="X35" s="90"/>
      <c r="Y35" s="4"/>
      <c r="Z35"/>
      <c r="AA35" s="173"/>
      <c r="AB35" s="173"/>
      <c r="AC35" s="1"/>
      <c r="AD35" s="1">
        <f t="shared" si="22"/>
        <v>0</v>
      </c>
      <c r="AE35" s="173"/>
      <c r="AF35" s="173"/>
      <c r="AG35" s="173"/>
      <c r="AH35" s="173"/>
      <c r="AI35" s="173">
        <f t="shared" si="23"/>
        <v>0</v>
      </c>
      <c r="AJ35"/>
      <c r="AK35"/>
      <c r="AL35"/>
      <c r="AM35"/>
      <c r="AN35"/>
      <c r="AO35" s="173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</row>
    <row r="36" spans="1:16381" s="40" customFormat="1" x14ac:dyDescent="0.2">
      <c r="B36" s="56" t="s">
        <v>38</v>
      </c>
      <c r="C36" s="52"/>
      <c r="D36" s="52"/>
      <c r="E36" s="52"/>
      <c r="F36" s="131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35"/>
      <c r="R36" s="54"/>
      <c r="S36" s="54"/>
      <c r="T36" s="54"/>
      <c r="V36" s="90"/>
      <c r="W36" s="4"/>
      <c r="X36" s="90"/>
      <c r="Y36" s="4"/>
      <c r="Z36"/>
      <c r="AA36" s="173"/>
      <c r="AB36" s="173"/>
      <c r="AC36" s="1"/>
      <c r="AD36" s="1">
        <f t="shared" si="22"/>
        <v>0</v>
      </c>
      <c r="AE36" s="173"/>
      <c r="AF36" s="173"/>
      <c r="AG36" s="173"/>
      <c r="AH36" s="173"/>
      <c r="AI36" s="173">
        <f t="shared" si="23"/>
        <v>0</v>
      </c>
      <c r="AJ36"/>
      <c r="AK36"/>
      <c r="AL36"/>
      <c r="AM36"/>
      <c r="AN36"/>
      <c r="AO36" s="173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</row>
    <row r="37" spans="1:16381" s="40" customFormat="1" x14ac:dyDescent="0.2">
      <c r="A37" s="40">
        <v>2110</v>
      </c>
      <c r="B37" s="51">
        <v>2110</v>
      </c>
      <c r="C37" s="52" t="s">
        <v>12</v>
      </c>
      <c r="D37" s="131">
        <f t="shared" ref="D37:D38" si="52">+AF37</f>
        <v>7842660</v>
      </c>
      <c r="E37" s="131">
        <f t="shared" ref="E37:E38" si="53">+AG37</f>
        <v>0</v>
      </c>
      <c r="F37" s="131">
        <f t="shared" ref="F37:F38" si="54">+AH37</f>
        <v>852132</v>
      </c>
      <c r="G37" s="39">
        <f>SUM(D37:F37)</f>
        <v>8694792</v>
      </c>
      <c r="H37" s="39">
        <f>P37-G37</f>
        <v>2678055.0318</v>
      </c>
      <c r="I37" s="53">
        <f>+G37+H37</f>
        <v>11372847.0318</v>
      </c>
      <c r="J37" s="53">
        <v>2749953</v>
      </c>
      <c r="K37" s="53">
        <f t="shared" ref="K37:K38" si="55">+AA37</f>
        <v>2372073</v>
      </c>
      <c r="L37" s="53">
        <f t="shared" ref="L37:L38" si="56">+AB37</f>
        <v>1127653</v>
      </c>
      <c r="M37" s="39">
        <f>+K37+L37</f>
        <v>3499726</v>
      </c>
      <c r="N37" s="53">
        <f>+J37+M37</f>
        <v>6249679</v>
      </c>
      <c r="O37" s="39">
        <f>331167.94*R37</f>
        <v>5123168.0318</v>
      </c>
      <c r="P37" s="53">
        <f>+N37+O37</f>
        <v>11372847.0318</v>
      </c>
      <c r="Q37" s="99">
        <f>H37/G37</f>
        <v>0.30800679668932851</v>
      </c>
      <c r="R37" s="54">
        <f>21.8+0.23-6.46-0.1</f>
        <v>15.47</v>
      </c>
      <c r="S37" s="54">
        <f>20.85+0.35+0.3-0.16+0.1-0.28</f>
        <v>21.160000000000004</v>
      </c>
      <c r="T37" s="54">
        <f>20.85+0.35+0.3-0.16</f>
        <v>21.340000000000003</v>
      </c>
      <c r="V37" s="90">
        <f t="shared" si="25"/>
        <v>51231.680317999999</v>
      </c>
      <c r="W37" s="4">
        <f t="shared" si="12"/>
        <v>0.31389902278490384</v>
      </c>
      <c r="X37" s="90">
        <f t="shared" si="13"/>
        <v>102463.360636</v>
      </c>
      <c r="Y37" s="4">
        <f t="shared" si="14"/>
        <v>0.31979124888047927</v>
      </c>
      <c r="Z37" s="98"/>
      <c r="AA37" s="187">
        <v>2372073</v>
      </c>
      <c r="AB37" s="187">
        <v>1127653</v>
      </c>
      <c r="AC37" s="192">
        <f t="shared" ref="AC37:AC38" si="57">+O37</f>
        <v>5123168.0318</v>
      </c>
      <c r="AD37" s="192">
        <f t="shared" ref="AD37:AD38" si="58">SUM(AA37:AC37)</f>
        <v>8622894.0318</v>
      </c>
      <c r="AE37" s="173"/>
      <c r="AF37" s="187">
        <v>7842660</v>
      </c>
      <c r="AG37" s="187"/>
      <c r="AH37" s="187">
        <v>852132</v>
      </c>
      <c r="AI37" s="190">
        <f t="shared" ref="AI37:AI38" si="59">SUM(AF37:AH37)</f>
        <v>8694792</v>
      </c>
      <c r="AJ37"/>
      <c r="AK37"/>
      <c r="AL37"/>
      <c r="AM37"/>
      <c r="AN37"/>
      <c r="AO37" s="173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</row>
    <row r="38" spans="1:16381" s="40" customFormat="1" x14ac:dyDescent="0.2">
      <c r="A38" s="40">
        <v>2251</v>
      </c>
      <c r="B38" s="51">
        <v>2251</v>
      </c>
      <c r="C38" s="52" t="s">
        <v>8</v>
      </c>
      <c r="D38" s="131">
        <f t="shared" si="52"/>
        <v>653902</v>
      </c>
      <c r="E38" s="131">
        <f t="shared" si="53"/>
        <v>0</v>
      </c>
      <c r="F38" s="131">
        <f t="shared" si="54"/>
        <v>16458</v>
      </c>
      <c r="G38" s="39">
        <f>SUM(D38:F38)</f>
        <v>670360</v>
      </c>
      <c r="H38" s="39">
        <f>P38-G38</f>
        <v>198298.73400000005</v>
      </c>
      <c r="I38" s="53">
        <f>+G38+H38</f>
        <v>868658.73400000005</v>
      </c>
      <c r="J38" s="53">
        <v>282607</v>
      </c>
      <c r="K38" s="53">
        <f t="shared" si="55"/>
        <v>221767</v>
      </c>
      <c r="L38" s="53">
        <f t="shared" si="56"/>
        <v>0</v>
      </c>
      <c r="M38" s="39">
        <f>+K38+L38</f>
        <v>221767</v>
      </c>
      <c r="N38" s="53">
        <f>+J38+M38</f>
        <v>504374</v>
      </c>
      <c r="O38" s="39">
        <f>331167.94*R38</f>
        <v>364284.73400000005</v>
      </c>
      <c r="P38" s="53">
        <f>+N38+O38</f>
        <v>868658.73400000005</v>
      </c>
      <c r="Q38" s="99">
        <f>H38/G38</f>
        <v>0.29580931738170546</v>
      </c>
      <c r="R38" s="54">
        <v>1.1000000000000001</v>
      </c>
      <c r="S38" s="54">
        <v>1.6</v>
      </c>
      <c r="T38" s="54">
        <f>2-0.3</f>
        <v>1.7</v>
      </c>
      <c r="V38" s="90">
        <f t="shared" si="25"/>
        <v>3642.8473400000007</v>
      </c>
      <c r="W38" s="4">
        <f t="shared" si="12"/>
        <v>0.30124348311355104</v>
      </c>
      <c r="X38" s="90">
        <f t="shared" si="13"/>
        <v>7285.6946800000014</v>
      </c>
      <c r="Y38" s="4">
        <f t="shared" si="14"/>
        <v>0.30667764884539661</v>
      </c>
      <c r="Z38" s="98"/>
      <c r="AA38" s="187">
        <v>221767</v>
      </c>
      <c r="AB38" s="187"/>
      <c r="AC38" s="192">
        <f t="shared" si="57"/>
        <v>364284.73400000005</v>
      </c>
      <c r="AD38" s="192">
        <f t="shared" si="58"/>
        <v>586051.73400000005</v>
      </c>
      <c r="AE38" s="173"/>
      <c r="AF38" s="187">
        <v>653902</v>
      </c>
      <c r="AG38" s="187"/>
      <c r="AH38" s="187">
        <v>16458</v>
      </c>
      <c r="AI38" s="190">
        <f t="shared" si="59"/>
        <v>670360</v>
      </c>
      <c r="AJ38"/>
      <c r="AK38"/>
      <c r="AL38"/>
      <c r="AM38"/>
      <c r="AN38"/>
      <c r="AO38" s="173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</row>
    <row r="39" spans="1:16381" s="46" customFormat="1" x14ac:dyDescent="0.2">
      <c r="B39" s="65" t="s">
        <v>39</v>
      </c>
      <c r="C39" s="174"/>
      <c r="D39" s="8">
        <f t="shared" ref="D39:F39" si="60">SUM(D37:D38)</f>
        <v>8496562</v>
      </c>
      <c r="E39" s="8">
        <f t="shared" si="60"/>
        <v>0</v>
      </c>
      <c r="F39" s="133">
        <f t="shared" si="60"/>
        <v>868590</v>
      </c>
      <c r="G39" s="8">
        <f>SUM(G37:G38)</f>
        <v>9365152</v>
      </c>
      <c r="H39" s="8">
        <f t="shared" ref="H39:P39" si="61">SUM(H37:H38)</f>
        <v>2876353.7658000002</v>
      </c>
      <c r="I39" s="8">
        <f t="shared" si="61"/>
        <v>12241505.765799999</v>
      </c>
      <c r="J39" s="8">
        <f t="shared" si="61"/>
        <v>3032560</v>
      </c>
      <c r="K39" s="8">
        <f t="shared" si="61"/>
        <v>2593840</v>
      </c>
      <c r="L39" s="8">
        <f t="shared" si="61"/>
        <v>1127653</v>
      </c>
      <c r="M39" s="8">
        <f t="shared" si="61"/>
        <v>3721493</v>
      </c>
      <c r="N39" s="8">
        <f t="shared" si="61"/>
        <v>6754053</v>
      </c>
      <c r="O39" s="8">
        <f t="shared" si="61"/>
        <v>5487452.7658000002</v>
      </c>
      <c r="P39" s="8">
        <f t="shared" si="61"/>
        <v>12241505.765799999</v>
      </c>
      <c r="Q39" s="35">
        <f>H39/G39</f>
        <v>0.30713369796881035</v>
      </c>
      <c r="R39" s="100">
        <f>SUM(R37:R38)</f>
        <v>16.57</v>
      </c>
      <c r="S39" s="100">
        <f>SUM(S37:S38)</f>
        <v>22.760000000000005</v>
      </c>
      <c r="T39" s="100">
        <f>SUM(T37:T38)</f>
        <v>23.040000000000003</v>
      </c>
      <c r="V39" s="90">
        <f t="shared" si="25"/>
        <v>54874.527658000006</v>
      </c>
      <c r="W39" s="4">
        <f t="shared" si="12"/>
        <v>0.31299313598519279</v>
      </c>
      <c r="X39" s="90">
        <f t="shared" si="13"/>
        <v>109749.05531600001</v>
      </c>
      <c r="Y39" s="4">
        <f t="shared" si="14"/>
        <v>0.31885257400157524</v>
      </c>
      <c r="Z39"/>
      <c r="AA39" s="173"/>
      <c r="AB39" s="173"/>
      <c r="AC39" s="1"/>
      <c r="AD39" s="1">
        <f t="shared" si="22"/>
        <v>0</v>
      </c>
      <c r="AE39" s="173"/>
      <c r="AF39" s="173"/>
      <c r="AG39" s="173"/>
      <c r="AH39" s="173"/>
      <c r="AI39" s="173">
        <f t="shared" si="23"/>
        <v>0</v>
      </c>
      <c r="AJ39"/>
      <c r="AK39"/>
      <c r="AL39"/>
      <c r="AM39"/>
      <c r="AN39"/>
      <c r="AO39" s="173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</row>
    <row r="40" spans="1:16381" s="46" customFormat="1" x14ac:dyDescent="0.2">
      <c r="B40" s="65"/>
      <c r="C40" s="57"/>
      <c r="D40" s="57"/>
      <c r="E40" s="57"/>
      <c r="F40" s="132"/>
      <c r="G40" s="8"/>
      <c r="H40" s="8"/>
      <c r="I40" s="8"/>
      <c r="J40" s="8"/>
      <c r="K40" s="8"/>
      <c r="L40" s="8"/>
      <c r="M40" s="8"/>
      <c r="N40" s="8"/>
      <c r="O40" s="8"/>
      <c r="P40" s="8"/>
      <c r="Q40" s="35"/>
      <c r="R40" s="100"/>
      <c r="S40" s="100"/>
      <c r="T40" s="100"/>
      <c r="V40" s="90"/>
      <c r="W40" s="4"/>
      <c r="X40" s="90"/>
      <c r="Y40" s="4"/>
      <c r="Z40"/>
      <c r="AA40" s="173"/>
      <c r="AB40" s="173"/>
      <c r="AC40" s="1"/>
      <c r="AD40" s="1">
        <f t="shared" si="22"/>
        <v>0</v>
      </c>
      <c r="AE40" s="173"/>
      <c r="AF40" s="173"/>
      <c r="AG40" s="173"/>
      <c r="AH40" s="173"/>
      <c r="AI40" s="173">
        <f t="shared" si="23"/>
        <v>0</v>
      </c>
      <c r="AJ40"/>
      <c r="AK40"/>
      <c r="AL40"/>
      <c r="AM40"/>
      <c r="AN40"/>
      <c r="AO40" s="173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</row>
    <row r="41" spans="1:16381" s="46" customFormat="1" x14ac:dyDescent="0.2">
      <c r="B41" s="65" t="s">
        <v>44</v>
      </c>
      <c r="C41" s="57"/>
      <c r="D41" s="57"/>
      <c r="E41" s="57"/>
      <c r="F41" s="132"/>
      <c r="G41" s="8"/>
      <c r="H41" s="8"/>
      <c r="I41" s="58"/>
      <c r="J41" s="58"/>
      <c r="K41" s="58"/>
      <c r="L41" s="58"/>
      <c r="M41" s="8"/>
      <c r="N41" s="58"/>
      <c r="O41" s="8"/>
      <c r="P41" s="58"/>
      <c r="Q41" s="35"/>
      <c r="R41" s="59"/>
      <c r="S41" s="59"/>
      <c r="T41" s="59"/>
      <c r="V41" s="90"/>
      <c r="W41" s="4"/>
      <c r="X41" s="90"/>
      <c r="Y41" s="4"/>
      <c r="Z41"/>
      <c r="AA41" s="173"/>
      <c r="AB41" s="173"/>
      <c r="AC41" s="1"/>
      <c r="AD41" s="1">
        <f t="shared" si="22"/>
        <v>0</v>
      </c>
      <c r="AE41" s="173"/>
      <c r="AF41" s="173"/>
      <c r="AG41" s="173"/>
      <c r="AH41" s="173"/>
      <c r="AI41" s="173">
        <f t="shared" si="23"/>
        <v>0</v>
      </c>
      <c r="AJ41"/>
      <c r="AK41"/>
      <c r="AL41"/>
      <c r="AM41"/>
      <c r="AN41"/>
      <c r="AO41" s="173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</row>
    <row r="42" spans="1:16381" s="40" customFormat="1" x14ac:dyDescent="0.2">
      <c r="A42" s="40">
        <v>2260</v>
      </c>
      <c r="B42" s="51">
        <v>2260</v>
      </c>
      <c r="C42" s="52" t="s">
        <v>17</v>
      </c>
      <c r="D42" s="131">
        <f t="shared" ref="D42" si="62">+AF42</f>
        <v>0</v>
      </c>
      <c r="E42" s="131">
        <f t="shared" ref="E42" si="63">+AG42</f>
        <v>0</v>
      </c>
      <c r="F42" s="131">
        <f t="shared" ref="F42" si="64">+AH42</f>
        <v>0</v>
      </c>
      <c r="G42" s="39">
        <v>0</v>
      </c>
      <c r="H42" s="39">
        <f>P42-G42</f>
        <v>239868</v>
      </c>
      <c r="I42" s="53">
        <f>+G42+H42</f>
        <v>239868</v>
      </c>
      <c r="J42" s="53">
        <v>239868</v>
      </c>
      <c r="K42" s="53">
        <v>0</v>
      </c>
      <c r="L42" s="53">
        <v>0</v>
      </c>
      <c r="M42" s="39">
        <f>+K42+L42</f>
        <v>0</v>
      </c>
      <c r="N42" s="53">
        <f>J42+M42</f>
        <v>239868</v>
      </c>
      <c r="O42" s="39">
        <f>156861*R42</f>
        <v>0</v>
      </c>
      <c r="P42" s="53">
        <f>+N42+O42</f>
        <v>239868</v>
      </c>
      <c r="Q42" s="99"/>
      <c r="R42" s="101">
        <v>0</v>
      </c>
      <c r="S42" s="101">
        <v>0</v>
      </c>
      <c r="T42" s="101">
        <v>0</v>
      </c>
      <c r="V42" s="90">
        <f t="shared" si="25"/>
        <v>0</v>
      </c>
      <c r="W42" s="4" t="e">
        <f t="shared" si="12"/>
        <v>#DIV/0!</v>
      </c>
      <c r="X42" s="90">
        <f t="shared" si="13"/>
        <v>0</v>
      </c>
      <c r="Y42" s="4" t="e">
        <f t="shared" si="14"/>
        <v>#DIV/0!</v>
      </c>
      <c r="Z42"/>
      <c r="AA42" s="173">
        <v>0</v>
      </c>
      <c r="AB42" s="173">
        <v>0</v>
      </c>
      <c r="AC42" s="1">
        <f t="shared" ref="AC42" si="65">+O42</f>
        <v>0</v>
      </c>
      <c r="AD42" s="1">
        <f t="shared" si="22"/>
        <v>0</v>
      </c>
      <c r="AE42" s="173"/>
      <c r="AF42" s="173">
        <v>0</v>
      </c>
      <c r="AG42" s="173">
        <v>0</v>
      </c>
      <c r="AH42" s="173">
        <v>0</v>
      </c>
      <c r="AI42" s="173">
        <f t="shared" si="23"/>
        <v>0</v>
      </c>
      <c r="AJ42"/>
      <c r="AK42"/>
      <c r="AL42"/>
      <c r="AM42"/>
      <c r="AN42"/>
      <c r="AO42" s="173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</row>
    <row r="43" spans="1:16381" s="40" customFormat="1" x14ac:dyDescent="0.2">
      <c r="B43" s="51"/>
      <c r="C43" s="57"/>
      <c r="D43" s="52"/>
      <c r="E43" s="52"/>
      <c r="F43" s="131"/>
      <c r="G43" s="39"/>
      <c r="H43" s="39"/>
      <c r="I43" s="53"/>
      <c r="J43" s="53"/>
      <c r="K43" s="53"/>
      <c r="L43" s="53"/>
      <c r="M43" s="39"/>
      <c r="N43" s="53"/>
      <c r="O43" s="39"/>
      <c r="P43" s="53"/>
      <c r="Q43" s="35"/>
      <c r="R43" s="101"/>
      <c r="S43" s="101"/>
      <c r="T43" s="101"/>
      <c r="V43" s="90"/>
      <c r="W43" s="4"/>
      <c r="X43" s="90"/>
      <c r="Y43" s="4"/>
      <c r="Z43"/>
      <c r="AA43" s="173"/>
      <c r="AB43" s="173"/>
      <c r="AC43" s="1"/>
      <c r="AD43" s="1">
        <f t="shared" si="22"/>
        <v>0</v>
      </c>
      <c r="AE43" s="173"/>
      <c r="AF43" s="173"/>
      <c r="AG43" s="173"/>
      <c r="AH43" s="173"/>
      <c r="AI43" s="173">
        <f t="shared" si="23"/>
        <v>0</v>
      </c>
      <c r="AJ43"/>
      <c r="AK43"/>
      <c r="AL43"/>
      <c r="AM43"/>
      <c r="AN43"/>
      <c r="AO43" s="17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</row>
    <row r="44" spans="1:16381" s="46" customFormat="1" x14ac:dyDescent="0.2">
      <c r="B44" s="65" t="s">
        <v>39</v>
      </c>
      <c r="C44" s="57"/>
      <c r="D44" s="8">
        <f t="shared" ref="D44:F44" si="66">D39+D42</f>
        <v>8496562</v>
      </c>
      <c r="E44" s="8">
        <f t="shared" si="66"/>
        <v>0</v>
      </c>
      <c r="F44" s="133">
        <f t="shared" si="66"/>
        <v>868590</v>
      </c>
      <c r="G44" s="8">
        <f>G39+G42</f>
        <v>9365152</v>
      </c>
      <c r="H44" s="8">
        <f t="shared" ref="H44:P44" si="67">H39+H42</f>
        <v>3116221.7658000002</v>
      </c>
      <c r="I44" s="8">
        <f t="shared" si="67"/>
        <v>12481373.765799999</v>
      </c>
      <c r="J44" s="8">
        <f t="shared" si="67"/>
        <v>3272428</v>
      </c>
      <c r="K44" s="8">
        <f t="shared" si="67"/>
        <v>2593840</v>
      </c>
      <c r="L44" s="8">
        <f t="shared" si="67"/>
        <v>1127653</v>
      </c>
      <c r="M44" s="8">
        <f t="shared" si="67"/>
        <v>3721493</v>
      </c>
      <c r="N44" s="8">
        <f t="shared" si="67"/>
        <v>6993921</v>
      </c>
      <c r="O44" s="8">
        <f t="shared" si="67"/>
        <v>5487452.7658000002</v>
      </c>
      <c r="P44" s="8">
        <f t="shared" si="67"/>
        <v>12481373.765799999</v>
      </c>
      <c r="Q44" s="35">
        <f>H44/G44</f>
        <v>0.33274652304628904</v>
      </c>
      <c r="R44" s="100">
        <f>R39+R42</f>
        <v>16.57</v>
      </c>
      <c r="S44" s="100">
        <f>S39+S42</f>
        <v>22.760000000000005</v>
      </c>
      <c r="T44" s="100">
        <f>T39+T42</f>
        <v>23.040000000000003</v>
      </c>
      <c r="V44" s="90">
        <f t="shared" si="25"/>
        <v>54874.527658000006</v>
      </c>
      <c r="W44" s="4">
        <f t="shared" si="12"/>
        <v>0.33860596106267155</v>
      </c>
      <c r="X44" s="90">
        <f t="shared" si="13"/>
        <v>109749.05531600001</v>
      </c>
      <c r="Y44" s="4">
        <f t="shared" si="14"/>
        <v>0.34446539907905399</v>
      </c>
      <c r="Z44"/>
      <c r="AA44" s="173"/>
      <c r="AB44" s="173"/>
      <c r="AC44" s="1"/>
      <c r="AD44" s="1">
        <f t="shared" si="22"/>
        <v>0</v>
      </c>
      <c r="AE44" s="173"/>
      <c r="AF44" s="173"/>
      <c r="AG44" s="173"/>
      <c r="AH44" s="173"/>
      <c r="AI44" s="173">
        <f t="shared" si="23"/>
        <v>0</v>
      </c>
      <c r="AJ44"/>
      <c r="AK44"/>
      <c r="AL44"/>
      <c r="AM44"/>
      <c r="AN44"/>
      <c r="AO44" s="173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</row>
    <row r="45" spans="1:16381" s="40" customFormat="1" x14ac:dyDescent="0.2">
      <c r="B45" s="56"/>
      <c r="C45" s="52"/>
      <c r="D45" s="52"/>
      <c r="E45" s="52"/>
      <c r="F45" s="131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35"/>
      <c r="R45" s="54"/>
      <c r="S45" s="54"/>
      <c r="T45" s="54"/>
      <c r="V45" s="90"/>
      <c r="W45" s="4"/>
      <c r="X45" s="90"/>
      <c r="Y45" s="4"/>
      <c r="Z45"/>
      <c r="AA45" s="173"/>
      <c r="AB45" s="173"/>
      <c r="AC45" s="1"/>
      <c r="AD45" s="1">
        <f t="shared" si="22"/>
        <v>0</v>
      </c>
      <c r="AE45" s="173"/>
      <c r="AF45" s="173"/>
      <c r="AG45" s="173"/>
      <c r="AH45" s="173"/>
      <c r="AI45" s="173">
        <f t="shared" si="23"/>
        <v>0</v>
      </c>
      <c r="AJ45"/>
      <c r="AK45"/>
      <c r="AL45"/>
      <c r="AM45"/>
      <c r="AN45"/>
      <c r="AO45" s="173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</row>
    <row r="46" spans="1:16381" s="40" customFormat="1" x14ac:dyDescent="0.2">
      <c r="A46" s="40">
        <v>2270</v>
      </c>
      <c r="B46" s="51">
        <v>2270</v>
      </c>
      <c r="C46" s="52" t="s">
        <v>18</v>
      </c>
      <c r="D46" s="131">
        <f t="shared" ref="D46" si="68">+AF46</f>
        <v>3804516</v>
      </c>
      <c r="E46" s="131">
        <f t="shared" ref="E46" si="69">+AG46</f>
        <v>0</v>
      </c>
      <c r="F46" s="131">
        <f t="shared" ref="F46" si="70">+AH46</f>
        <v>95759</v>
      </c>
      <c r="G46" s="39">
        <f>SUM(D46:F46)</f>
        <v>3900275</v>
      </c>
      <c r="H46" s="39">
        <f>P46-G46</f>
        <v>982448.4020000007</v>
      </c>
      <c r="I46" s="53">
        <f>+G46+H46</f>
        <v>4882723.4020000007</v>
      </c>
      <c r="J46" s="53">
        <v>958516</v>
      </c>
      <c r="K46" s="53">
        <f t="shared" ref="K46" si="71">+AA46</f>
        <v>1623191</v>
      </c>
      <c r="L46" s="53">
        <f t="shared" ref="L46" si="72">+AB46</f>
        <v>4000</v>
      </c>
      <c r="M46" s="39">
        <f>+K46+L46</f>
        <v>1627191</v>
      </c>
      <c r="N46" s="53">
        <f>+J46+M46</f>
        <v>2585707</v>
      </c>
      <c r="O46" s="39">
        <f>($G$54*R46)</f>
        <v>2297016.4020000002</v>
      </c>
      <c r="P46" s="53">
        <f>+N46+O46</f>
        <v>4882723.4020000007</v>
      </c>
      <c r="Q46" s="99">
        <f>H46/G46</f>
        <v>0.25189208504528543</v>
      </c>
      <c r="R46" s="54">
        <f>3.6+1.01</f>
        <v>4.6100000000000003</v>
      </c>
      <c r="S46" s="54">
        <v>5.73</v>
      </c>
      <c r="T46" s="54">
        <v>5.74</v>
      </c>
      <c r="V46" s="90">
        <f t="shared" si="25"/>
        <v>22970.164020000004</v>
      </c>
      <c r="W46" s="4">
        <f t="shared" si="12"/>
        <v>0.25778145541532349</v>
      </c>
      <c r="X46" s="90">
        <f t="shared" si="13"/>
        <v>45940.328040000008</v>
      </c>
      <c r="Y46" s="4">
        <f t="shared" si="14"/>
        <v>0.2636708257853615</v>
      </c>
      <c r="Z46"/>
      <c r="AA46" s="187">
        <v>1623191</v>
      </c>
      <c r="AB46" s="187">
        <v>4000</v>
      </c>
      <c r="AC46" s="1">
        <f t="shared" ref="AC46" si="73">+O46</f>
        <v>2297016.4020000002</v>
      </c>
      <c r="AD46" s="1">
        <f t="shared" ref="AD46" si="74">SUM(AA46:AC46)</f>
        <v>3924207.4020000002</v>
      </c>
      <c r="AE46" s="173"/>
      <c r="AF46" s="187">
        <v>3804516</v>
      </c>
      <c r="AG46" s="187"/>
      <c r="AH46" s="187">
        <v>95759</v>
      </c>
      <c r="AI46" s="173">
        <f t="shared" ref="AI46" si="75">SUM(AF46:AH46)</f>
        <v>3900275</v>
      </c>
      <c r="AJ46"/>
      <c r="AK46"/>
      <c r="AL46"/>
      <c r="AM46"/>
      <c r="AN46"/>
      <c r="AO46" s="173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</row>
    <row r="47" spans="1:16381" s="40" customFormat="1" ht="13.5" thickBot="1" x14ac:dyDescent="0.25">
      <c r="B47" s="56"/>
      <c r="C47" s="52"/>
      <c r="D47" s="52"/>
      <c r="E47" s="52"/>
      <c r="F47" s="131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36"/>
      <c r="R47" s="54"/>
      <c r="S47" s="54"/>
      <c r="T47" s="54"/>
      <c r="V47" s="90"/>
      <c r="W47" s="4"/>
      <c r="X47" s="90"/>
      <c r="Y47" s="4"/>
      <c r="Z47"/>
      <c r="AA47" s="173"/>
      <c r="AB47" s="173"/>
      <c r="AC47" s="1"/>
      <c r="AD47" s="1"/>
      <c r="AE47" s="173"/>
      <c r="AF47" s="173"/>
      <c r="AG47" s="173"/>
      <c r="AH47" s="173"/>
      <c r="AI47" s="173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</row>
    <row r="48" spans="1:16381" s="46" customFormat="1" ht="15.75" customHeight="1" thickBot="1" x14ac:dyDescent="0.25">
      <c r="B48" s="61" t="s">
        <v>300</v>
      </c>
      <c r="C48" s="62"/>
      <c r="D48" s="63">
        <f>D22+D32+D39+D46+D42</f>
        <v>64501103</v>
      </c>
      <c r="E48" s="63">
        <f>E22+E32+E39+E46+E42</f>
        <v>497434</v>
      </c>
      <c r="F48" s="63">
        <f t="shared" ref="F48:P48" si="76">F22+F32+F39+F46+F42</f>
        <v>9771348</v>
      </c>
      <c r="G48" s="63">
        <f t="shared" si="76"/>
        <v>74769885</v>
      </c>
      <c r="H48" s="63">
        <f t="shared" si="76"/>
        <v>16122554.542800004</v>
      </c>
      <c r="I48" s="63">
        <f t="shared" si="76"/>
        <v>90892439.542799994</v>
      </c>
      <c r="J48" s="63">
        <f t="shared" si="76"/>
        <v>21332985</v>
      </c>
      <c r="K48" s="63">
        <f t="shared" si="76"/>
        <v>15267916</v>
      </c>
      <c r="L48" s="63">
        <f t="shared" si="76"/>
        <v>5138156</v>
      </c>
      <c r="M48" s="63">
        <f>M22+M32+M39+M46+M42</f>
        <v>20406072</v>
      </c>
      <c r="N48" s="63">
        <f>N22+N32+N39+N46+N42</f>
        <v>41739057</v>
      </c>
      <c r="O48" s="63">
        <f t="shared" si="76"/>
        <v>49153382.542799994</v>
      </c>
      <c r="P48" s="63">
        <f t="shared" si="76"/>
        <v>90892439.542799994</v>
      </c>
      <c r="Q48" s="136">
        <f>+H48/G48</f>
        <v>0.2156289867611807</v>
      </c>
      <c r="R48" s="137">
        <f>R22+R32+R39+R46+R42</f>
        <v>104.87999999999998</v>
      </c>
      <c r="S48" s="96" t="e">
        <f>S22+#REF!+S32+S39+S42+S46</f>
        <v>#REF!</v>
      </c>
      <c r="T48" s="96" t="e">
        <f>T22+#REF!+T32+T39+T42+T46</f>
        <v>#REF!</v>
      </c>
      <c r="V48" s="156">
        <f>SUM(V4:V47)</f>
        <v>1410903.7535040001</v>
      </c>
      <c r="W48" s="157">
        <f t="shared" si="12"/>
        <v>0.23449893357872628</v>
      </c>
      <c r="X48" s="156">
        <f>SUM(X4:X47)</f>
        <v>2821807.5070080003</v>
      </c>
      <c r="Y48" s="157">
        <f t="shared" si="14"/>
        <v>0.25336888039627187</v>
      </c>
      <c r="Z48"/>
      <c r="AA48" s="173">
        <f>SUM(AA22:AA47)</f>
        <v>15267916</v>
      </c>
      <c r="AB48" s="173">
        <f>SUM(AB22:AB47)</f>
        <v>5138156</v>
      </c>
      <c r="AC48" s="1">
        <f>SUM(AC22:AC47)</f>
        <v>49153382.542799994</v>
      </c>
      <c r="AD48" s="1">
        <f>SUM(AD22:AD47)</f>
        <v>69559454.542799994</v>
      </c>
      <c r="AE48" s="173">
        <f t="shared" ref="AE48" si="77">SUM(AE4:AE47)</f>
        <v>0</v>
      </c>
      <c r="AF48" s="173">
        <f t="shared" ref="AF48" si="78">SUM(AF4:AF47)</f>
        <v>64501103</v>
      </c>
      <c r="AG48" s="173">
        <f t="shared" ref="AG48" si="79">SUM(AG4:AG47)</f>
        <v>497434</v>
      </c>
      <c r="AH48" s="173">
        <f t="shared" ref="AH48" si="80">SUM(AH4:AH47)</f>
        <v>9771348</v>
      </c>
      <c r="AI48" s="173">
        <f t="shared" ref="AI48" si="81">SUM(AI4:AI47)</f>
        <v>74769885</v>
      </c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</row>
    <row r="49" spans="1:16381" s="46" customFormat="1" ht="15.75" customHeight="1" thickBot="1" x14ac:dyDescent="0.25">
      <c r="B49" s="167" t="s">
        <v>291</v>
      </c>
      <c r="C49" s="64"/>
      <c r="D49" s="162">
        <v>61689966</v>
      </c>
      <c r="E49" s="162">
        <v>362363</v>
      </c>
      <c r="F49" s="162">
        <v>10860314</v>
      </c>
      <c r="G49" s="162">
        <v>72912643</v>
      </c>
      <c r="H49" s="162">
        <v>20284220</v>
      </c>
      <c r="I49" s="162">
        <v>93196863</v>
      </c>
      <c r="J49" s="162">
        <v>24408885</v>
      </c>
      <c r="K49" s="162">
        <v>15283172</v>
      </c>
      <c r="L49" s="162">
        <v>5121037</v>
      </c>
      <c r="M49" s="162">
        <v>20404209</v>
      </c>
      <c r="N49" s="162">
        <v>44813094</v>
      </c>
      <c r="O49" s="162">
        <v>48383769</v>
      </c>
      <c r="P49" s="162">
        <v>93196863</v>
      </c>
      <c r="Q49" s="163">
        <v>0.2782</v>
      </c>
      <c r="R49" s="164">
        <v>103.34</v>
      </c>
      <c r="S49" s="76">
        <v>151.63999999999999</v>
      </c>
      <c r="T49" s="76">
        <v>147.97999999999999</v>
      </c>
      <c r="V49"/>
      <c r="W49"/>
      <c r="X49"/>
      <c r="Y49"/>
      <c r="Z49"/>
      <c r="AA49" s="187">
        <v>15267916</v>
      </c>
      <c r="AB49" s="187">
        <v>5138156</v>
      </c>
      <c r="AC49" s="196">
        <v>48383770</v>
      </c>
      <c r="AD49" s="197">
        <v>68789842</v>
      </c>
      <c r="AE49" s="173"/>
      <c r="AF49" s="187">
        <v>64501103</v>
      </c>
      <c r="AG49" s="187">
        <v>497434</v>
      </c>
      <c r="AH49" s="187">
        <v>9771348</v>
      </c>
      <c r="AI49" s="173">
        <v>74769885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</row>
    <row r="50" spans="1:16381" s="46" customFormat="1" ht="15.75" customHeight="1" thickBot="1" x14ac:dyDescent="0.25">
      <c r="B50" s="168" t="s">
        <v>281</v>
      </c>
      <c r="C50" s="84"/>
      <c r="D50" s="176">
        <v>57755576</v>
      </c>
      <c r="E50" s="176">
        <v>1497977</v>
      </c>
      <c r="F50" s="176">
        <v>9921938</v>
      </c>
      <c r="G50" s="176">
        <v>69175491</v>
      </c>
      <c r="H50" s="176">
        <v>20683896.384100001</v>
      </c>
      <c r="I50" s="176">
        <v>89859387.38409999</v>
      </c>
      <c r="J50" s="176">
        <v>24189037</v>
      </c>
      <c r="K50" s="176">
        <v>14815811</v>
      </c>
      <c r="L50" s="176">
        <v>5329391</v>
      </c>
      <c r="M50" s="176">
        <v>20145202</v>
      </c>
      <c r="N50" s="176">
        <v>44334239</v>
      </c>
      <c r="O50" s="176">
        <v>45525148.384100005</v>
      </c>
      <c r="P50" s="176">
        <v>89859387.38409999</v>
      </c>
      <c r="Q50" s="177">
        <v>0.29900613765213463</v>
      </c>
      <c r="R50" s="178">
        <v>161.94</v>
      </c>
      <c r="S50" s="103"/>
      <c r="T50" s="103"/>
      <c r="V50"/>
      <c r="W50"/>
      <c r="X50"/>
      <c r="Y50"/>
      <c r="Z50"/>
      <c r="AA50" s="173">
        <f>+AA48-AA49</f>
        <v>0</v>
      </c>
      <c r="AB50" s="173">
        <f t="shared" ref="AB50:AF50" si="82">+AB48-AB49</f>
        <v>0</v>
      </c>
      <c r="AC50" s="1">
        <f t="shared" si="82"/>
        <v>769612.54279999435</v>
      </c>
      <c r="AD50" s="1">
        <f t="shared" si="82"/>
        <v>769612.54279999435</v>
      </c>
      <c r="AE50" s="173"/>
      <c r="AF50" s="173">
        <f t="shared" si="82"/>
        <v>0</v>
      </c>
      <c r="AG50" s="173">
        <f t="shared" ref="AG50" si="83">+AG48-AG49</f>
        <v>0</v>
      </c>
      <c r="AH50" s="173">
        <f t="shared" ref="AH50" si="84">+AH48-AH49</f>
        <v>0</v>
      </c>
      <c r="AI50" s="173">
        <f t="shared" ref="AI50" si="85">+AI48-AI49</f>
        <v>0</v>
      </c>
      <c r="AJ50" s="73" t="s">
        <v>267</v>
      </c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</row>
    <row r="51" spans="1:16381" s="46" customFormat="1" ht="13.5" thickBot="1" x14ac:dyDescent="0.25">
      <c r="B51" s="65" t="s">
        <v>302</v>
      </c>
      <c r="C51" s="66"/>
      <c r="D51" s="67">
        <f t="shared" ref="D51:F51" si="86">-D49+D48</f>
        <v>2811137</v>
      </c>
      <c r="E51" s="67">
        <f t="shared" ref="E51" si="87">-E49+E48</f>
        <v>135071</v>
      </c>
      <c r="F51" s="67">
        <f t="shared" si="86"/>
        <v>-1088966</v>
      </c>
      <c r="G51" s="67">
        <f>-G49+G48</f>
        <v>1857242</v>
      </c>
      <c r="H51" s="67">
        <f t="shared" ref="H51:P51" si="88">-H49+H48</f>
        <v>-4161665.4571999963</v>
      </c>
      <c r="I51" s="67">
        <f t="shared" si="88"/>
        <v>-2304423.4572000057</v>
      </c>
      <c r="J51" s="67">
        <f t="shared" si="88"/>
        <v>-3075900</v>
      </c>
      <c r="K51" s="67">
        <f t="shared" si="88"/>
        <v>-15256</v>
      </c>
      <c r="L51" s="67">
        <f t="shared" si="88"/>
        <v>17119</v>
      </c>
      <c r="M51" s="67">
        <f t="shared" si="88"/>
        <v>1863</v>
      </c>
      <c r="N51" s="67">
        <f t="shared" si="88"/>
        <v>-3074037</v>
      </c>
      <c r="O51" s="67">
        <f t="shared" si="88"/>
        <v>769613.54279999435</v>
      </c>
      <c r="P51" s="67">
        <f t="shared" si="88"/>
        <v>-2304423.4572000057</v>
      </c>
      <c r="Q51" s="37">
        <f>-Q49+Q48</f>
        <v>-6.2571013238819306E-2</v>
      </c>
      <c r="R51" s="68"/>
      <c r="S51" s="68"/>
      <c r="T51" s="68"/>
      <c r="V51"/>
      <c r="W51"/>
      <c r="X51"/>
      <c r="Y51"/>
      <c r="Z51"/>
      <c r="AA51" s="173"/>
      <c r="AB51" s="173"/>
      <c r="AC51" s="1">
        <f>-AC19-AC20</f>
        <v>-1546536.102</v>
      </c>
      <c r="AD51" s="1"/>
      <c r="AE51" s="173"/>
      <c r="AF51" s="173"/>
      <c r="AG51" s="173"/>
      <c r="AH51" s="173"/>
      <c r="AI51" s="173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</row>
    <row r="52" spans="1:16381" s="46" customFormat="1" ht="15" x14ac:dyDescent="0.35">
      <c r="B52" s="40"/>
      <c r="C52" s="40"/>
      <c r="D52" s="40"/>
      <c r="E52" s="40"/>
      <c r="F52" s="40"/>
      <c r="G52" s="40"/>
      <c r="H52" s="40"/>
      <c r="I52" s="153"/>
      <c r="J52" s="154" t="s">
        <v>219</v>
      </c>
      <c r="K52" s="154" t="s">
        <v>220</v>
      </c>
      <c r="L52" s="40"/>
      <c r="M52" s="40"/>
      <c r="N52" s="40"/>
      <c r="O52" s="40"/>
      <c r="P52" s="40"/>
      <c r="Q52" s="40"/>
      <c r="R52" s="40"/>
      <c r="S52" s="40"/>
      <c r="T52" s="40"/>
      <c r="U52" s="40"/>
      <c r="V52"/>
      <c r="W52"/>
      <c r="X52"/>
      <c r="Y52"/>
      <c r="Z52"/>
      <c r="AA52" s="173"/>
      <c r="AB52" s="173"/>
      <c r="AC52" s="1">
        <f>SUM(AC50:AC51)</f>
        <v>-776923.55920000561</v>
      </c>
      <c r="AD52" s="1"/>
      <c r="AE52" s="173"/>
      <c r="AF52" s="173"/>
      <c r="AG52" s="173"/>
      <c r="AH52" s="173"/>
      <c r="AI52" s="173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</row>
    <row r="53" spans="1:16381" s="40" customFormat="1" x14ac:dyDescent="0.2">
      <c r="I53" s="52" t="s">
        <v>195</v>
      </c>
      <c r="J53" s="165">
        <f>+'Non-levied Funds FY25'!O192+'Non-levied Funds FY25'!M192</f>
        <v>117006630.54279999</v>
      </c>
      <c r="K53" s="124">
        <f>+'Non-levied Funds FY25'!L192</f>
        <v>13752654</v>
      </c>
      <c r="V53"/>
      <c r="W53"/>
      <c r="X53"/>
      <c r="Y53"/>
      <c r="Z53"/>
      <c r="AA53" s="173"/>
      <c r="AB53" s="173"/>
      <c r="AC53" s="1"/>
      <c r="AD53" s="1"/>
      <c r="AE53" s="173"/>
      <c r="AF53" s="173"/>
      <c r="AG53" s="173"/>
      <c r="AH53" s="173"/>
      <c r="AI53" s="17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</row>
    <row r="54" spans="1:16381" s="40" customFormat="1" x14ac:dyDescent="0.2">
      <c r="B54" s="52" t="s">
        <v>298</v>
      </c>
      <c r="C54" s="52"/>
      <c r="D54" s="52"/>
      <c r="E54" s="52"/>
      <c r="F54" s="52"/>
      <c r="G54" s="69">
        <v>498268.2</v>
      </c>
      <c r="H54" s="70"/>
      <c r="I54" s="52" t="s">
        <v>196</v>
      </c>
      <c r="J54" s="165">
        <f>+'Non-levied Funds FY25'!G192</f>
        <v>129698676</v>
      </c>
      <c r="K54" s="124">
        <f>+'Non-levied Funds FY25'!F192</f>
        <v>13752654</v>
      </c>
      <c r="L54" s="70"/>
      <c r="M54" s="70"/>
      <c r="N54" s="70"/>
      <c r="O54" s="70"/>
      <c r="P54" s="70"/>
      <c r="Q54" s="70"/>
      <c r="R54" s="70"/>
      <c r="S54" s="70"/>
      <c r="T54" s="70"/>
      <c r="V54"/>
      <c r="W54"/>
      <c r="X54"/>
      <c r="Y54"/>
      <c r="Z54"/>
      <c r="AA54" s="173"/>
      <c r="AB54" s="173"/>
      <c r="AC54" s="1"/>
      <c r="AD54" s="1"/>
      <c r="AE54" s="173"/>
      <c r="AF54" s="173"/>
      <c r="AG54" s="173"/>
      <c r="AH54" s="173"/>
      <c r="AI54" s="173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</row>
    <row r="55" spans="1:16381" s="40" customFormat="1" x14ac:dyDescent="0.2">
      <c r="B55" s="52" t="s">
        <v>289</v>
      </c>
      <c r="C55" s="52"/>
      <c r="D55" s="52"/>
      <c r="E55" s="52"/>
      <c r="F55" s="52"/>
      <c r="G55" s="69">
        <v>498268.2</v>
      </c>
      <c r="I55" s="52" t="s">
        <v>261</v>
      </c>
      <c r="J55" s="166">
        <f>+J53-J54</f>
        <v>-12692045.457200006</v>
      </c>
      <c r="K55" s="125">
        <f>+K53-K54</f>
        <v>0</v>
      </c>
      <c r="V55"/>
      <c r="W55"/>
      <c r="X55"/>
      <c r="Y55"/>
      <c r="Z55"/>
      <c r="AA55" s="173"/>
      <c r="AB55" s="173"/>
      <c r="AC55" s="1"/>
      <c r="AD55" s="1"/>
      <c r="AE55" s="173"/>
      <c r="AF55" s="173"/>
      <c r="AG55" s="173"/>
      <c r="AH55" s="173"/>
      <c r="AI55" s="173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</row>
    <row r="56" spans="1:16381" s="40" customFormat="1" x14ac:dyDescent="0.2">
      <c r="O56" s="55"/>
      <c r="V56"/>
      <c r="W56"/>
      <c r="X56"/>
      <c r="Y56"/>
      <c r="Z56"/>
      <c r="AA56" s="173"/>
      <c r="AB56" s="173"/>
      <c r="AC56" s="1"/>
      <c r="AD56" s="1"/>
      <c r="AE56" s="173"/>
      <c r="AF56" s="173"/>
      <c r="AG56" s="173"/>
      <c r="AH56" s="173"/>
      <c r="AI56" s="173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</row>
    <row r="57" spans="1:16381" x14ac:dyDescent="0.2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U57" s="40"/>
      <c r="AA57" s="173">
        <f>69.21-69.17</f>
        <v>3.9999999999992042E-2</v>
      </c>
    </row>
    <row r="58" spans="1:16381" ht="13.5" thickBot="1" x14ac:dyDescent="0.25">
      <c r="A58" s="40"/>
      <c r="B58" s="135" t="s">
        <v>221</v>
      </c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U58" s="40"/>
    </row>
    <row r="59" spans="1:16381" ht="15" x14ac:dyDescent="0.25">
      <c r="A59" s="40"/>
      <c r="B59" s="19" t="s">
        <v>301</v>
      </c>
      <c r="C59" s="20"/>
      <c r="D59" s="21">
        <f>+'Non-levied Funds FY25'!D190</f>
        <v>38465363</v>
      </c>
      <c r="E59" s="21">
        <f>+'Non-levied Funds FY25'!E190</f>
        <v>12482122</v>
      </c>
      <c r="F59" s="21">
        <f>+'Non-levied Funds FY25'!F190</f>
        <v>3981306</v>
      </c>
      <c r="G59" s="21">
        <f>+'Non-levied Funds FY25'!G190</f>
        <v>54928791</v>
      </c>
      <c r="H59" s="21">
        <f>+'Non-levied Funds FY25'!H190</f>
        <v>101422237</v>
      </c>
      <c r="I59" s="21">
        <f>+'Non-levied Funds FY25'!I190</f>
        <v>156351028</v>
      </c>
      <c r="J59" s="21">
        <f>+'Non-levied Funds FY25'!J190</f>
        <v>108903852</v>
      </c>
      <c r="K59" s="21">
        <f>+'Non-levied Funds FY25'!K190</f>
        <v>38832678</v>
      </c>
      <c r="L59" s="21">
        <f>+'Non-levied Funds FY25'!L190</f>
        <v>8614498</v>
      </c>
      <c r="M59" s="21">
        <f>+'Non-levied Funds FY25'!M190</f>
        <v>47447176</v>
      </c>
      <c r="N59" s="21">
        <f>+'Non-levied Funds FY25'!N190</f>
        <v>156351028</v>
      </c>
      <c r="O59" s="21">
        <f>+'Non-levied Funds FY25'!O190</f>
        <v>0</v>
      </c>
      <c r="P59" s="21">
        <f>+'Non-levied Funds FY25'!P190</f>
        <v>156351028</v>
      </c>
      <c r="Q59" s="140">
        <f>+H59/G59</f>
        <v>1.8464312640706038</v>
      </c>
      <c r="R59" s="82">
        <v>0</v>
      </c>
      <c r="S59" s="40"/>
      <c r="T59" s="40"/>
      <c r="U59" s="40"/>
    </row>
    <row r="60" spans="1:16381" ht="15" customHeight="1" thickBot="1" x14ac:dyDescent="0.3">
      <c r="A60" s="40"/>
      <c r="B60" s="23" t="s">
        <v>300</v>
      </c>
      <c r="C60" s="24"/>
      <c r="D60" s="25">
        <f>+'Non-levied Funds FY25'!D191</f>
        <v>64501103</v>
      </c>
      <c r="E60" s="25">
        <f>+'Non-levied Funds FY25'!E191</f>
        <v>497434</v>
      </c>
      <c r="F60" s="25">
        <f>+'Non-levied Funds FY25'!F191</f>
        <v>9771348</v>
      </c>
      <c r="G60" s="25">
        <f>+'Non-levied Funds FY25'!G191</f>
        <v>74769885</v>
      </c>
      <c r="H60" s="25">
        <f>+'Non-levied Funds FY25'!H191</f>
        <v>16122554.542800004</v>
      </c>
      <c r="I60" s="25">
        <f>+'Non-levied Funds FY25'!I191</f>
        <v>90892439.542799994</v>
      </c>
      <c r="J60" s="25">
        <f>+'Non-levied Funds FY25'!J191</f>
        <v>21332985</v>
      </c>
      <c r="K60" s="25">
        <f>+'Non-levied Funds FY25'!K191</f>
        <v>15267916</v>
      </c>
      <c r="L60" s="25">
        <f>+'Non-levied Funds FY25'!L191</f>
        <v>5138156</v>
      </c>
      <c r="M60" s="25">
        <f>+'Non-levied Funds FY25'!M191</f>
        <v>20406072</v>
      </c>
      <c r="N60" s="25">
        <f>+'Non-levied Funds FY25'!N191</f>
        <v>41739057</v>
      </c>
      <c r="O60" s="25">
        <f>+'Non-levied Funds FY25'!O191</f>
        <v>49153382.542799994</v>
      </c>
      <c r="P60" s="25">
        <f>+'Non-levied Funds FY25'!P191</f>
        <v>90892439.542799994</v>
      </c>
      <c r="Q60" s="141">
        <f>+H60/G60</f>
        <v>0.2156289867611807</v>
      </c>
      <c r="R60" s="83">
        <f>+R48</f>
        <v>104.87999999999998</v>
      </c>
      <c r="S60" s="40"/>
      <c r="T60" s="40"/>
      <c r="U60" s="40"/>
    </row>
    <row r="61" spans="1:16381" ht="15.75" thickBot="1" x14ac:dyDescent="0.3">
      <c r="A61" s="40"/>
      <c r="B61" s="120" t="s">
        <v>299</v>
      </c>
      <c r="C61" s="121"/>
      <c r="D61" s="122">
        <f>+'Non-levied Funds FY25'!D192</f>
        <v>102966466</v>
      </c>
      <c r="E61" s="122">
        <f>+'Non-levied Funds FY25'!E192</f>
        <v>12979556</v>
      </c>
      <c r="F61" s="122">
        <f>+'Non-levied Funds FY25'!F192</f>
        <v>13752654</v>
      </c>
      <c r="G61" s="122">
        <f>+'Non-levied Funds FY25'!G192</f>
        <v>129698676</v>
      </c>
      <c r="H61" s="122">
        <f>+'Non-levied Funds FY25'!H192</f>
        <v>117544791.54280001</v>
      </c>
      <c r="I61" s="122">
        <f>+'Non-levied Funds FY25'!I192</f>
        <v>247243467.54280001</v>
      </c>
      <c r="J61" s="122">
        <f>+'Non-levied Funds FY25'!J192</f>
        <v>130236837</v>
      </c>
      <c r="K61" s="122">
        <f>+'Non-levied Funds FY25'!K192</f>
        <v>54100594</v>
      </c>
      <c r="L61" s="122">
        <f>+'Non-levied Funds FY25'!L192</f>
        <v>13752654</v>
      </c>
      <c r="M61" s="122">
        <f>+'Non-levied Funds FY25'!M192</f>
        <v>67853248</v>
      </c>
      <c r="N61" s="122">
        <f>+'Non-levied Funds FY25'!N192</f>
        <v>198090085</v>
      </c>
      <c r="O61" s="122">
        <f>+'Non-levied Funds FY25'!O192</f>
        <v>49153382.542799994</v>
      </c>
      <c r="P61" s="122">
        <f>+'Non-levied Funds FY25'!P192</f>
        <v>247243467.54280001</v>
      </c>
      <c r="Q61" s="142">
        <f>+H61/G61</f>
        <v>0.9062913760414949</v>
      </c>
      <c r="R61" s="123">
        <f>SUM(R59:R60)</f>
        <v>104.87999999999998</v>
      </c>
      <c r="S61" s="40"/>
      <c r="T61" s="40"/>
      <c r="U61" s="40"/>
    </row>
    <row r="62" spans="1:16381" ht="13.5" thickBot="1" x14ac:dyDescent="0.25">
      <c r="A62" s="40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143"/>
      <c r="R62" s="28">
        <f>+P61+P65+P69-'Non-levied Funds FY25'!P192-'Non-levied Funds FY25'!P196-'Non-levied Funds FY25'!P200</f>
        <v>0</v>
      </c>
      <c r="S62" s="40"/>
      <c r="T62" s="40"/>
      <c r="U62" s="40"/>
    </row>
    <row r="63" spans="1:16381" ht="15" x14ac:dyDescent="0.2">
      <c r="A63" s="40"/>
      <c r="B63" s="108" t="s">
        <v>290</v>
      </c>
      <c r="C63" s="109"/>
      <c r="D63" s="110">
        <f>+'Non-levied Funds FY25'!D194</f>
        <v>29334831</v>
      </c>
      <c r="E63" s="110">
        <f>+'Non-levied Funds FY25'!E194</f>
        <v>11919589</v>
      </c>
      <c r="F63" s="110">
        <f>+'Non-levied Funds FY25'!F194</f>
        <v>5156764</v>
      </c>
      <c r="G63" s="110">
        <f>+'Non-levied Funds FY25'!G194</f>
        <v>46411184</v>
      </c>
      <c r="H63" s="110">
        <f>+'Non-levied Funds FY25'!H194</f>
        <v>107761353</v>
      </c>
      <c r="I63" s="110">
        <f>+'Non-levied Funds FY25'!I194</f>
        <v>154172537</v>
      </c>
      <c r="J63" s="110">
        <f>+'Non-levied Funds FY25'!J194</f>
        <v>101296314</v>
      </c>
      <c r="K63" s="110">
        <f>+'Non-levied Funds FY25'!K194</f>
        <v>43126912</v>
      </c>
      <c r="L63" s="110">
        <f>+'Non-levied Funds FY25'!L194</f>
        <v>9749311</v>
      </c>
      <c r="M63" s="110">
        <f>+'Non-levied Funds FY25'!M194</f>
        <v>52876223</v>
      </c>
      <c r="N63" s="110">
        <f>+'Non-levied Funds FY25'!N194</f>
        <v>154172537</v>
      </c>
      <c r="O63" s="110">
        <f>+'Non-levied Funds FY25'!O194</f>
        <v>0</v>
      </c>
      <c r="P63" s="110">
        <f>+'Non-levied Funds FY25'!P194</f>
        <v>154172537</v>
      </c>
      <c r="Q63" s="144">
        <f>+H63/G63</f>
        <v>2.3218832986462918</v>
      </c>
      <c r="R63" s="111">
        <v>0</v>
      </c>
      <c r="S63" s="40"/>
      <c r="T63" s="40"/>
      <c r="U63" s="40"/>
    </row>
    <row r="64" spans="1:16381" ht="15.75" thickBot="1" x14ac:dyDescent="0.25">
      <c r="A64" s="40"/>
      <c r="B64" s="112" t="s">
        <v>291</v>
      </c>
      <c r="C64" s="113"/>
      <c r="D64" s="114">
        <f>+'Non-levied Funds FY25'!D195</f>
        <v>57755576</v>
      </c>
      <c r="E64" s="114">
        <f>+'Non-levied Funds FY25'!E195</f>
        <v>1497977</v>
      </c>
      <c r="F64" s="114">
        <f>+'Non-levied Funds FY25'!F195</f>
        <v>9921938</v>
      </c>
      <c r="G64" s="114">
        <f>+'Non-levied Funds FY25'!G195</f>
        <v>69175491</v>
      </c>
      <c r="H64" s="114">
        <f>+'Non-levied Funds FY25'!H195</f>
        <v>20683896.384100001</v>
      </c>
      <c r="I64" s="114">
        <f>+'Non-levied Funds FY25'!I195</f>
        <v>89859387.38409999</v>
      </c>
      <c r="J64" s="114">
        <f>+'Non-levied Funds FY25'!J195</f>
        <v>24189037</v>
      </c>
      <c r="K64" s="114">
        <f>+'Non-levied Funds FY25'!K195</f>
        <v>14815811</v>
      </c>
      <c r="L64" s="114">
        <f>+'Non-levied Funds FY25'!L195</f>
        <v>5329391</v>
      </c>
      <c r="M64" s="114">
        <f>+'Non-levied Funds FY25'!M195</f>
        <v>20145202</v>
      </c>
      <c r="N64" s="114">
        <f>+'Non-levied Funds FY25'!N195</f>
        <v>44334239</v>
      </c>
      <c r="O64" s="114">
        <f>+'Non-levied Funds FY25'!O195</f>
        <v>45525148.384100005</v>
      </c>
      <c r="P64" s="114">
        <f>+'Non-levied Funds FY25'!P195</f>
        <v>89859387.38409999</v>
      </c>
      <c r="Q64" s="145">
        <f>+H64/G64</f>
        <v>0.29900613765213463</v>
      </c>
      <c r="R64" s="115">
        <v>161.94</v>
      </c>
      <c r="S64" s="40"/>
      <c r="T64" s="40"/>
      <c r="U64" s="40"/>
    </row>
    <row r="65" spans="1:21" ht="15.75" thickBot="1" x14ac:dyDescent="0.25">
      <c r="A65" s="40"/>
      <c r="B65" s="79" t="s">
        <v>292</v>
      </c>
      <c r="C65" s="80"/>
      <c r="D65" s="81">
        <f>+'Non-levied Funds FY25'!D196</f>
        <v>84588585.079999998</v>
      </c>
      <c r="E65" s="81">
        <f>+'Non-levied Funds FY25'!E196</f>
        <v>14001099</v>
      </c>
      <c r="F65" s="81">
        <f>+'Non-levied Funds FY25'!F196</f>
        <v>19733891</v>
      </c>
      <c r="G65" s="81">
        <f>+'Non-levied Funds FY25'!G196</f>
        <v>118323575.08</v>
      </c>
      <c r="H65" s="81">
        <f>+'Non-levied Funds FY25'!H196</f>
        <v>86976220.748100013</v>
      </c>
      <c r="I65" s="81">
        <f>+'Non-levied Funds FY25'!I196</f>
        <v>205299795.8281</v>
      </c>
      <c r="J65" s="81">
        <f>+'Non-levied Funds FY25'!J196</f>
        <v>91568268.409999996</v>
      </c>
      <c r="K65" s="81">
        <f>+'Non-levied Funds FY25'!K196</f>
        <v>50305391</v>
      </c>
      <c r="L65" s="81">
        <f>+'Non-levied Funds FY25'!L196</f>
        <v>19733891</v>
      </c>
      <c r="M65" s="81">
        <f>+'Non-levied Funds FY25'!M196</f>
        <v>70039282</v>
      </c>
      <c r="N65" s="81">
        <f>+'Non-levied Funds FY25'!N196</f>
        <v>161607550.41</v>
      </c>
      <c r="O65" s="81">
        <f>+'Non-levied Funds FY25'!O196</f>
        <v>43692245.418099999</v>
      </c>
      <c r="P65" s="81">
        <f>+'Non-levied Funds FY25'!P196</f>
        <v>205299795.8281</v>
      </c>
      <c r="Q65" s="146">
        <f>+H65/G65</f>
        <v>0.73507093315338334</v>
      </c>
      <c r="R65" s="116">
        <f>SUM(R63:R64)</f>
        <v>161.94</v>
      </c>
      <c r="S65" s="40"/>
      <c r="T65" s="40"/>
      <c r="U65" s="40"/>
    </row>
    <row r="66" spans="1:21" ht="13.5" thickBot="1" x14ac:dyDescent="0.25">
      <c r="A66" s="40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143"/>
      <c r="R66" s="28"/>
      <c r="S66" s="40"/>
      <c r="T66" s="40"/>
      <c r="U66" s="40"/>
    </row>
    <row r="67" spans="1:21" ht="15" x14ac:dyDescent="0.2">
      <c r="A67" s="40"/>
      <c r="B67" s="169" t="s">
        <v>282</v>
      </c>
      <c r="C67" s="183"/>
      <c r="D67" s="179">
        <f>+'Non-levied Funds FY25'!D198</f>
        <v>28170605</v>
      </c>
      <c r="E67" s="179">
        <f>+'Non-levied Funds FY25'!E198</f>
        <v>14979899</v>
      </c>
      <c r="F67" s="179">
        <f>+'Non-levied Funds FY25'!F198</f>
        <v>7438091</v>
      </c>
      <c r="G67" s="179">
        <f>+'Non-levied Funds FY25'!G198</f>
        <v>50588595</v>
      </c>
      <c r="H67" s="179">
        <f>+'Non-levied Funds FY25'!H198</f>
        <v>83953231</v>
      </c>
      <c r="I67" s="179">
        <f>+'Non-levied Funds FY25'!I198</f>
        <v>134541826</v>
      </c>
      <c r="J67" s="179">
        <f>+'Non-levied Funds FY25'!J198</f>
        <v>86818382</v>
      </c>
      <c r="K67" s="179">
        <f>+'Non-levied Funds FY25'!K198</f>
        <v>33577162</v>
      </c>
      <c r="L67" s="179">
        <f>+'Non-levied Funds FY25'!L198</f>
        <v>14146282</v>
      </c>
      <c r="M67" s="179">
        <f>+'Non-levied Funds FY25'!M198</f>
        <v>47723444</v>
      </c>
      <c r="N67" s="179">
        <f>+'Non-levied Funds FY25'!N198</f>
        <v>134541826</v>
      </c>
      <c r="O67" s="179">
        <f>+'Non-levied Funds FY25'!O198</f>
        <v>0</v>
      </c>
      <c r="P67" s="179">
        <f>+'Non-levied Funds FY25'!P198</f>
        <v>134541826</v>
      </c>
      <c r="Q67" s="184">
        <f>+H67/G67</f>
        <v>1.6595288127689649</v>
      </c>
      <c r="R67" s="180">
        <v>0</v>
      </c>
      <c r="S67" s="40"/>
      <c r="T67" s="40"/>
      <c r="U67" s="40"/>
    </row>
    <row r="68" spans="1:21" ht="15.75" thickBot="1" x14ac:dyDescent="0.25">
      <c r="A68" s="40"/>
      <c r="B68" s="170" t="s">
        <v>281</v>
      </c>
      <c r="C68" s="185"/>
      <c r="D68" s="181">
        <f>+'Non-levied Funds FY25'!D199</f>
        <v>53778577</v>
      </c>
      <c r="E68" s="181">
        <f>+'Non-levied Funds FY25'!E199</f>
        <v>1075900</v>
      </c>
      <c r="F68" s="181">
        <f>+'Non-levied Funds FY25'!F199</f>
        <v>12157084</v>
      </c>
      <c r="G68" s="181">
        <f>+'Non-levied Funds FY25'!G199</f>
        <v>67011561</v>
      </c>
      <c r="H68" s="181">
        <f>+'Non-levied Funds FY25'!H199</f>
        <v>18704953.6138</v>
      </c>
      <c r="I68" s="181">
        <f>+'Non-levied Funds FY25'!I199</f>
        <v>85716514.613800004</v>
      </c>
      <c r="J68" s="181">
        <f>+'Non-levied Funds FY25'!J199</f>
        <v>22483504</v>
      </c>
      <c r="K68" s="181">
        <f>+'Non-levied Funds FY25'!K199</f>
        <v>13788645</v>
      </c>
      <c r="L68" s="181">
        <f>+'Non-levied Funds FY25'!L199</f>
        <v>5448893</v>
      </c>
      <c r="M68" s="181">
        <f>+'Non-levied Funds FY25'!M199</f>
        <v>19237538</v>
      </c>
      <c r="N68" s="181">
        <f>+'Non-levied Funds FY25'!N199</f>
        <v>41721042</v>
      </c>
      <c r="O68" s="181">
        <f>+'Non-levied Funds FY25'!O199</f>
        <v>43995472.613799989</v>
      </c>
      <c r="P68" s="181">
        <f>+'Non-levied Funds FY25'!P199</f>
        <v>85716514.613800004</v>
      </c>
      <c r="Q68" s="186">
        <f>+H68/G68</f>
        <v>0.27913024759712729</v>
      </c>
      <c r="R68" s="182">
        <v>171.34</v>
      </c>
      <c r="S68" s="40"/>
      <c r="T68" s="40"/>
      <c r="U68" s="40"/>
    </row>
    <row r="69" spans="1:21" ht="15.75" thickBot="1" x14ac:dyDescent="0.25">
      <c r="A69" s="40"/>
      <c r="B69" s="171" t="s">
        <v>283</v>
      </c>
      <c r="C69" s="117"/>
      <c r="D69" s="118">
        <f>+'Non-levied Funds FY25'!D200</f>
        <v>80856513</v>
      </c>
      <c r="E69" s="118">
        <f>+'Non-levied Funds FY25'!E200</f>
        <v>8229395</v>
      </c>
      <c r="F69" s="118">
        <f>+'Non-levied Funds FY25'!F200</f>
        <v>10158625</v>
      </c>
      <c r="G69" s="118">
        <f>+'Non-levied Funds FY25'!G200</f>
        <v>99244534</v>
      </c>
      <c r="H69" s="118">
        <f>+'Non-levied Funds FY25'!H200</f>
        <v>57156346</v>
      </c>
      <c r="I69" s="118">
        <f>+'Non-levied Funds FY25'!I200</f>
        <v>156400862</v>
      </c>
      <c r="J69" s="118">
        <f>+'Non-levied Funds FY25'!J200</f>
        <v>57852714</v>
      </c>
      <c r="K69" s="118">
        <f>+'Non-levied Funds FY25'!K200</f>
        <v>47552402</v>
      </c>
      <c r="L69" s="118">
        <f>+'Non-levied Funds FY25'!L200</f>
        <v>10158625</v>
      </c>
      <c r="M69" s="118">
        <f>+'Non-levied Funds FY25'!M200</f>
        <v>57711027</v>
      </c>
      <c r="N69" s="118">
        <f>+'Non-levied Funds FY25'!N200</f>
        <v>115563741</v>
      </c>
      <c r="O69" s="118">
        <f>+'Non-levied Funds FY25'!O200</f>
        <v>40837121</v>
      </c>
      <c r="P69" s="118">
        <f>+'Non-levied Funds FY25'!P200</f>
        <v>156400862</v>
      </c>
      <c r="Q69" s="147">
        <f>+H69/G69</f>
        <v>0.57591429670071304</v>
      </c>
      <c r="R69" s="119">
        <f>SUM(R67:R68)</f>
        <v>171.34</v>
      </c>
      <c r="S69" s="40"/>
      <c r="T69" s="40"/>
      <c r="U69" s="40"/>
    </row>
    <row r="70" spans="1:21" x14ac:dyDescent="0.2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148"/>
      <c r="R70" s="40"/>
      <c r="U70" s="40"/>
    </row>
    <row r="71" spans="1:21" x14ac:dyDescent="0.2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U71" s="40"/>
    </row>
    <row r="72" spans="1:2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U72" s="40"/>
    </row>
    <row r="73" spans="1:21" x14ac:dyDescent="0.2">
      <c r="B73" s="135" t="s">
        <v>233</v>
      </c>
    </row>
    <row r="74" spans="1:21" x14ac:dyDescent="0.2">
      <c r="C74" s="158" t="s">
        <v>231</v>
      </c>
      <c r="D74" s="158" t="s">
        <v>232</v>
      </c>
      <c r="E74" s="158" t="s">
        <v>227</v>
      </c>
      <c r="F74" s="158" t="s">
        <v>220</v>
      </c>
      <c r="G74" s="158" t="s">
        <v>228</v>
      </c>
      <c r="H74" s="158" t="s">
        <v>229</v>
      </c>
      <c r="I74" s="158" t="s">
        <v>230</v>
      </c>
    </row>
    <row r="75" spans="1:21" x14ac:dyDescent="0.2">
      <c r="A75" s="151"/>
      <c r="B75" s="73" t="s">
        <v>224</v>
      </c>
      <c r="C75" s="149">
        <f>+G61</f>
        <v>129698676</v>
      </c>
      <c r="D75" s="90">
        <f>+D61</f>
        <v>102966466</v>
      </c>
      <c r="E75" s="149">
        <f>+E61</f>
        <v>12979556</v>
      </c>
      <c r="F75" s="149">
        <f>+F61</f>
        <v>13752654</v>
      </c>
      <c r="G75" s="149">
        <f>+M61</f>
        <v>67853248</v>
      </c>
      <c r="H75" s="149">
        <f>+O61</f>
        <v>49153382.542799994</v>
      </c>
      <c r="I75" s="149">
        <f>+H61</f>
        <v>117544791.54280001</v>
      </c>
    </row>
    <row r="76" spans="1:21" x14ac:dyDescent="0.2">
      <c r="A76" s="151"/>
      <c r="B76" s="73" t="s">
        <v>225</v>
      </c>
      <c r="C76" s="149">
        <f>+G65</f>
        <v>118323575.08</v>
      </c>
      <c r="D76" s="90">
        <f>+D65</f>
        <v>84588585.079999998</v>
      </c>
      <c r="E76" s="149">
        <f>+E65</f>
        <v>14001099</v>
      </c>
      <c r="F76" s="149">
        <f>+F65</f>
        <v>19733891</v>
      </c>
      <c r="G76" s="149">
        <f>+M65</f>
        <v>70039282</v>
      </c>
      <c r="H76" s="149">
        <f>+O65</f>
        <v>43692245.418099999</v>
      </c>
      <c r="I76" s="149">
        <f>+H65</f>
        <v>86976220.748100013</v>
      </c>
    </row>
    <row r="77" spans="1:21" x14ac:dyDescent="0.2">
      <c r="A77" s="151"/>
      <c r="B77" s="73" t="s">
        <v>14</v>
      </c>
      <c r="C77" s="150">
        <f>+C75-C76</f>
        <v>11375100.920000002</v>
      </c>
      <c r="D77" s="150">
        <f>+D75-D76</f>
        <v>18377880.920000002</v>
      </c>
      <c r="E77" s="150">
        <f t="shared" ref="E77:I77" si="89">+E75-E76</f>
        <v>-1021543</v>
      </c>
      <c r="F77" s="150">
        <f t="shared" si="89"/>
        <v>-5981237</v>
      </c>
      <c r="G77" s="150">
        <f t="shared" si="89"/>
        <v>-2186034</v>
      </c>
      <c r="H77" s="150">
        <f t="shared" si="89"/>
        <v>5461137.1246999949</v>
      </c>
      <c r="I77" s="150">
        <f t="shared" si="89"/>
        <v>30568570.794699997</v>
      </c>
    </row>
    <row r="78" spans="1:21" x14ac:dyDescent="0.2">
      <c r="A78" s="151"/>
      <c r="B78" s="73" t="s">
        <v>226</v>
      </c>
      <c r="C78" s="4">
        <f>+C77/C76</f>
        <v>9.6135541140547509E-2</v>
      </c>
      <c r="D78" s="4">
        <f>+D77/D76</f>
        <v>0.21726194973729665</v>
      </c>
      <c r="E78" s="4">
        <f t="shared" ref="E78:I78" si="90">+E77/E76</f>
        <v>-7.2961629654929236E-2</v>
      </c>
      <c r="F78" s="4">
        <f t="shared" si="90"/>
        <v>-0.30309466085527687</v>
      </c>
      <c r="G78" s="4">
        <f t="shared" si="90"/>
        <v>-3.1211542117179327E-2</v>
      </c>
      <c r="H78" s="4">
        <f t="shared" si="90"/>
        <v>0.12499099262217496</v>
      </c>
      <c r="I78" s="4">
        <f t="shared" si="90"/>
        <v>0.35145894512055775</v>
      </c>
    </row>
    <row r="79" spans="1:21" x14ac:dyDescent="0.2">
      <c r="A79" s="151"/>
      <c r="B79" s="73"/>
      <c r="C79" s="4"/>
      <c r="D79" s="4"/>
      <c r="E79" s="4"/>
      <c r="F79" s="4"/>
      <c r="G79" s="4"/>
      <c r="H79" s="4"/>
      <c r="I79" s="4"/>
    </row>
    <row r="80" spans="1:21" x14ac:dyDescent="0.2">
      <c r="B80" s="135" t="s">
        <v>234</v>
      </c>
    </row>
    <row r="81" spans="2:9" x14ac:dyDescent="0.2">
      <c r="B81" s="73" t="s">
        <v>224</v>
      </c>
      <c r="C81" s="90">
        <f>+G48</f>
        <v>74769885</v>
      </c>
      <c r="D81" s="90">
        <f t="shared" ref="D81:F81" si="91">+D48</f>
        <v>64501103</v>
      </c>
      <c r="E81" s="90">
        <f t="shared" si="91"/>
        <v>497434</v>
      </c>
      <c r="F81" s="90">
        <f t="shared" si="91"/>
        <v>9771348</v>
      </c>
      <c r="G81" s="90">
        <f>+M48</f>
        <v>20406072</v>
      </c>
      <c r="H81" s="90">
        <f>+O48</f>
        <v>49153382.542799994</v>
      </c>
      <c r="I81" s="90">
        <f>+H48</f>
        <v>16122554.542800004</v>
      </c>
    </row>
    <row r="82" spans="2:9" x14ac:dyDescent="0.2">
      <c r="B82" s="73" t="s">
        <v>225</v>
      </c>
      <c r="C82" s="149">
        <f>+G49</f>
        <v>72912643</v>
      </c>
      <c r="D82" s="149">
        <f>+D49</f>
        <v>61689966</v>
      </c>
      <c r="E82" s="149">
        <f>+E49</f>
        <v>362363</v>
      </c>
      <c r="F82" s="149">
        <f>+F49</f>
        <v>10860314</v>
      </c>
      <c r="G82" s="149">
        <f>+M49</f>
        <v>20404209</v>
      </c>
      <c r="H82" s="149">
        <f>+O49</f>
        <v>48383769</v>
      </c>
      <c r="I82" s="149">
        <f>+H49</f>
        <v>20284220</v>
      </c>
    </row>
    <row r="83" spans="2:9" x14ac:dyDescent="0.2">
      <c r="B83" s="73" t="s">
        <v>14</v>
      </c>
      <c r="C83" s="150">
        <f>+C81-C82</f>
        <v>1857242</v>
      </c>
      <c r="D83" s="150">
        <f>+D81-D82</f>
        <v>2811137</v>
      </c>
      <c r="E83" s="150">
        <f t="shared" ref="E83:I83" si="92">+E81-E82</f>
        <v>135071</v>
      </c>
      <c r="F83" s="150">
        <f t="shared" si="92"/>
        <v>-1088966</v>
      </c>
      <c r="G83" s="150">
        <f t="shared" si="92"/>
        <v>1863</v>
      </c>
      <c r="H83" s="150">
        <f t="shared" si="92"/>
        <v>769613.54279999435</v>
      </c>
      <c r="I83" s="150">
        <f t="shared" si="92"/>
        <v>-4161665.4571999963</v>
      </c>
    </row>
    <row r="84" spans="2:9" x14ac:dyDescent="0.2">
      <c r="B84" s="73" t="s">
        <v>226</v>
      </c>
      <c r="C84" s="4">
        <f>+C83/C82</f>
        <v>2.547215302564193E-2</v>
      </c>
      <c r="D84" s="4">
        <f>+D83/D82</f>
        <v>4.5568788285602235E-2</v>
      </c>
      <c r="E84" s="4">
        <f t="shared" ref="E84:I84" si="93">+E83/E82</f>
        <v>0.37275052916550533</v>
      </c>
      <c r="F84" s="4">
        <f t="shared" si="93"/>
        <v>-0.10027021318168149</v>
      </c>
      <c r="G84" s="4">
        <f t="shared" si="93"/>
        <v>9.1304691105643937E-5</v>
      </c>
      <c r="H84" s="4">
        <f t="shared" si="93"/>
        <v>1.5906440500738882E-2</v>
      </c>
      <c r="I84" s="4">
        <f t="shared" si="93"/>
        <v>-0.20516763559062148</v>
      </c>
    </row>
    <row r="86" spans="2:9" x14ac:dyDescent="0.2">
      <c r="B86" s="135" t="s">
        <v>235</v>
      </c>
    </row>
    <row r="87" spans="2:9" x14ac:dyDescent="0.2">
      <c r="B87" s="73" t="s">
        <v>234</v>
      </c>
    </row>
    <row r="88" spans="2:9" x14ac:dyDescent="0.2">
      <c r="B88" s="73" t="s">
        <v>224</v>
      </c>
      <c r="C88" s="90">
        <f>+G22</f>
        <v>52419985</v>
      </c>
      <c r="D88" s="90">
        <f>+D22</f>
        <v>47684562</v>
      </c>
      <c r="E88" s="90">
        <f>+E22</f>
        <v>0</v>
      </c>
      <c r="F88" s="90">
        <f>+F22</f>
        <v>4735423</v>
      </c>
      <c r="G88" s="90">
        <f>+M22</f>
        <v>13154429</v>
      </c>
      <c r="H88" s="90">
        <f>+O22</f>
        <v>34149007.15699999</v>
      </c>
      <c r="I88" s="90">
        <f>+H22</f>
        <v>10140814.157000002</v>
      </c>
    </row>
    <row r="89" spans="2:9" x14ac:dyDescent="0.2">
      <c r="B89" s="73" t="s">
        <v>225</v>
      </c>
      <c r="C89" s="149">
        <f>+SUM(D89:F89)</f>
        <v>45732187</v>
      </c>
      <c r="D89" s="149">
        <v>39459042</v>
      </c>
      <c r="E89" s="149">
        <v>501500</v>
      </c>
      <c r="F89" s="149">
        <v>5771645</v>
      </c>
      <c r="G89" s="149">
        <v>12517774</v>
      </c>
      <c r="H89" s="149">
        <v>31243969</v>
      </c>
      <c r="I89" s="149">
        <v>13259381</v>
      </c>
    </row>
    <row r="90" spans="2:9" x14ac:dyDescent="0.2">
      <c r="B90" s="73" t="s">
        <v>14</v>
      </c>
      <c r="C90" s="150">
        <f>+C88-C89</f>
        <v>6687798</v>
      </c>
      <c r="D90" s="150">
        <f>+D88-D89</f>
        <v>8225520</v>
      </c>
      <c r="E90" s="150">
        <f t="shared" ref="E90" si="94">+E88-E89</f>
        <v>-501500</v>
      </c>
      <c r="F90" s="150">
        <f t="shared" ref="F90" si="95">+F88-F89</f>
        <v>-1036222</v>
      </c>
      <c r="G90" s="150">
        <f t="shared" ref="G90" si="96">+G88-G89</f>
        <v>636655</v>
      </c>
      <c r="H90" s="150">
        <f t="shared" ref="H90" si="97">+H88-H89</f>
        <v>2905038.1569999903</v>
      </c>
      <c r="I90" s="150">
        <f t="shared" ref="I90" si="98">+I88-I89</f>
        <v>-3118566.8429999985</v>
      </c>
    </row>
    <row r="91" spans="2:9" x14ac:dyDescent="0.2">
      <c r="B91" s="73" t="s">
        <v>226</v>
      </c>
      <c r="C91" s="4">
        <f>+C90/C89</f>
        <v>0.14623831569655743</v>
      </c>
      <c r="D91" s="4">
        <f>+D90/D89</f>
        <v>0.20845716426668442</v>
      </c>
      <c r="E91" s="4">
        <f t="shared" ref="E91" si="99">+E90/E89</f>
        <v>-1</v>
      </c>
      <c r="F91" s="4">
        <f t="shared" ref="F91" si="100">+F90/F89</f>
        <v>-0.17953668321596356</v>
      </c>
      <c r="G91" s="4">
        <f t="shared" ref="G91" si="101">+G90/G89</f>
        <v>5.0860081033576733E-2</v>
      </c>
      <c r="H91" s="4">
        <f t="shared" ref="H91" si="102">+H90/H89</f>
        <v>9.2979165259061372E-2</v>
      </c>
      <c r="I91" s="4">
        <f t="shared" ref="I91" si="103">+I90/I89</f>
        <v>-0.23519701583354446</v>
      </c>
    </row>
  </sheetData>
  <conditionalFormatting sqref="J62:L62">
    <cfRule type="cellIs" dxfId="5" priority="2" operator="lessThan">
      <formula>0</formula>
    </cfRule>
  </conditionalFormatting>
  <printOptions horizontalCentered="1" verticalCentered="1" gridLines="1"/>
  <pageMargins left="0" right="0" top="0.5" bottom="0" header="0" footer="0"/>
  <pageSetup paperSize="17" scale="41" orientation="landscape" cellComments="asDisplayed" r:id="rId1"/>
  <headerFooter alignWithMargins="0">
    <oddHeader xml:space="preserve">&amp;C&amp;"Arial,Bold"&amp;16FLATHEAD COUNTY
&amp;KFF0000TAX LEVY REQUIREMENT SCHEDULE-PRELIMINARY&amp;K000000
</oddHeader>
    <oddFooter>&amp;L&amp;Z&amp;F&amp;C&amp;D &amp;T&amp;R&amp;F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3"/>
  </sheetPr>
  <dimension ref="A1:AE236"/>
  <sheetViews>
    <sheetView view="pageLayout" topLeftCell="A119" zoomScale="80" zoomScaleNormal="80" zoomScalePageLayoutView="80" workbookViewId="0">
      <selection activeCell="H188" sqref="H188"/>
    </sheetView>
  </sheetViews>
  <sheetFormatPr defaultColWidth="9.140625" defaultRowHeight="12.75" x14ac:dyDescent="0.2"/>
  <cols>
    <col min="1" max="1" width="1.7109375" customWidth="1"/>
    <col min="2" max="2" width="7.85546875" bestFit="1" customWidth="1"/>
    <col min="3" max="3" width="30.42578125" bestFit="1" customWidth="1"/>
    <col min="4" max="5" width="25.42578125" customWidth="1"/>
    <col min="6" max="6" width="23" customWidth="1"/>
    <col min="7" max="7" width="18.5703125" style="28" customWidth="1"/>
    <col min="8" max="8" width="17.140625" style="28" customWidth="1"/>
    <col min="9" max="9" width="17.85546875" style="28" customWidth="1"/>
    <col min="10" max="12" width="17.42578125" style="28" customWidth="1"/>
    <col min="13" max="13" width="17.28515625" style="28" customWidth="1"/>
    <col min="14" max="14" width="18.140625" style="28" customWidth="1"/>
    <col min="15" max="15" width="19.42578125" style="28" customWidth="1"/>
    <col min="16" max="16" width="18.140625" style="28" customWidth="1"/>
    <col min="17" max="17" width="10.28515625" style="28" customWidth="1"/>
    <col min="18" max="18" width="12.140625" hidden="1" customWidth="1"/>
    <col min="19" max="19" width="20.7109375" hidden="1" customWidth="1"/>
    <col min="20" max="20" width="13.28515625" hidden="1" customWidth="1"/>
    <col min="21" max="21" width="11.28515625" hidden="1" customWidth="1"/>
    <col min="22" max="23" width="9.140625" hidden="1" customWidth="1"/>
    <col min="24" max="24" width="24.28515625" bestFit="1" customWidth="1"/>
    <col min="25" max="25" width="15.7109375" bestFit="1" customWidth="1"/>
    <col min="26" max="26" width="23.140625" customWidth="1"/>
    <col min="27" max="27" width="9.140625" customWidth="1"/>
    <col min="28" max="28" width="21.42578125" bestFit="1" customWidth="1"/>
    <col min="29" max="29" width="13.7109375" bestFit="1" customWidth="1"/>
    <col min="30" max="30" width="14.42578125" customWidth="1"/>
    <col min="31" max="31" width="20.140625" customWidth="1"/>
  </cols>
  <sheetData>
    <row r="1" spans="1:31" ht="13.5" thickBot="1" x14ac:dyDescent="0.25"/>
    <row r="2" spans="1:31" s="5" customFormat="1" x14ac:dyDescent="0.2">
      <c r="B2" s="12"/>
      <c r="C2" s="13"/>
      <c r="D2" s="129" t="s">
        <v>212</v>
      </c>
      <c r="E2" s="129"/>
      <c r="F2" s="129"/>
      <c r="G2" s="198" t="s">
        <v>45</v>
      </c>
      <c r="H2" s="77" t="s">
        <v>46</v>
      </c>
      <c r="I2" s="77" t="s">
        <v>10</v>
      </c>
      <c r="J2" s="77" t="s">
        <v>50</v>
      </c>
      <c r="K2" s="77" t="s">
        <v>213</v>
      </c>
      <c r="L2" s="77"/>
      <c r="M2" s="77" t="s">
        <v>218</v>
      </c>
      <c r="N2" s="77" t="s">
        <v>135</v>
      </c>
      <c r="O2" s="77" t="s">
        <v>53</v>
      </c>
      <c r="P2" s="77" t="s">
        <v>10</v>
      </c>
      <c r="Q2" s="31" t="s">
        <v>54</v>
      </c>
      <c r="S2" s="105" t="s">
        <v>169</v>
      </c>
    </row>
    <row r="3" spans="1:31" s="5" customFormat="1" ht="15" customHeight="1" thickBot="1" x14ac:dyDescent="0.25">
      <c r="B3" s="14" t="s">
        <v>0</v>
      </c>
      <c r="C3" s="15"/>
      <c r="D3" s="130" t="s">
        <v>217</v>
      </c>
      <c r="E3" s="130" t="s">
        <v>222</v>
      </c>
      <c r="F3" s="130" t="s">
        <v>211</v>
      </c>
      <c r="G3" s="199"/>
      <c r="H3" s="78" t="s">
        <v>47</v>
      </c>
      <c r="I3" s="78" t="s">
        <v>48</v>
      </c>
      <c r="J3" s="78" t="s">
        <v>49</v>
      </c>
      <c r="K3" s="78" t="s">
        <v>51</v>
      </c>
      <c r="L3" s="78" t="s">
        <v>214</v>
      </c>
      <c r="M3" s="78" t="s">
        <v>216</v>
      </c>
      <c r="N3" s="78" t="s">
        <v>50</v>
      </c>
      <c r="O3" s="78" t="s">
        <v>51</v>
      </c>
      <c r="P3" s="78" t="s">
        <v>50</v>
      </c>
      <c r="Q3" s="32" t="s">
        <v>55</v>
      </c>
      <c r="R3" s="9" t="s">
        <v>14</v>
      </c>
      <c r="S3" s="9" t="s">
        <v>168</v>
      </c>
      <c r="U3" s="5" t="s">
        <v>192</v>
      </c>
      <c r="X3" s="139" t="s">
        <v>249</v>
      </c>
      <c r="Y3" s="139" t="s">
        <v>248</v>
      </c>
      <c r="Z3" s="139" t="s">
        <v>247</v>
      </c>
      <c r="AB3" s="139" t="s">
        <v>253</v>
      </c>
      <c r="AC3" s="139" t="s">
        <v>252</v>
      </c>
      <c r="AD3" s="139" t="s">
        <v>251</v>
      </c>
      <c r="AE3" s="139" t="s">
        <v>250</v>
      </c>
    </row>
    <row r="4" spans="1:31" s="5" customFormat="1" ht="15" customHeight="1" x14ac:dyDescent="0.2">
      <c r="B4" s="85">
        <v>2150</v>
      </c>
      <c r="C4" s="10" t="s">
        <v>71</v>
      </c>
      <c r="D4" s="134">
        <f>+AB4</f>
        <v>140</v>
      </c>
      <c r="E4" s="134">
        <f t="shared" ref="E4:F4" si="0">+AC4</f>
        <v>0</v>
      </c>
      <c r="F4" s="134">
        <f t="shared" si="0"/>
        <v>0</v>
      </c>
      <c r="G4" s="39">
        <f>SUM(D4:F4)</f>
        <v>140</v>
      </c>
      <c r="H4" s="71">
        <f>+P4-G4</f>
        <v>1044</v>
      </c>
      <c r="I4" s="72">
        <f t="shared" ref="I4" si="1">G4+H4</f>
        <v>1184</v>
      </c>
      <c r="J4" s="71">
        <v>1184</v>
      </c>
      <c r="K4" s="39">
        <f>+X4</f>
        <v>0</v>
      </c>
      <c r="L4" s="39">
        <f>+Y4</f>
        <v>0</v>
      </c>
      <c r="M4" s="39">
        <f>+K4+L4</f>
        <v>0</v>
      </c>
      <c r="N4" s="72">
        <f>J4+M4</f>
        <v>1184</v>
      </c>
      <c r="O4" s="72">
        <v>0</v>
      </c>
      <c r="P4" s="72">
        <f>N4+O4</f>
        <v>1184</v>
      </c>
      <c r="Q4" s="74">
        <v>0</v>
      </c>
      <c r="R4" s="9"/>
      <c r="S4" s="93">
        <f>+P4-G4</f>
        <v>1044</v>
      </c>
      <c r="T4" s="94">
        <f>+S4/G4</f>
        <v>7.4571428571428573</v>
      </c>
      <c r="U4" s="104">
        <f>+P4-G4</f>
        <v>1044</v>
      </c>
      <c r="X4" s="189"/>
      <c r="Y4" s="189"/>
      <c r="Z4" s="159">
        <f>SUM(X4:Y4)</f>
        <v>0</v>
      </c>
      <c r="AB4" s="189">
        <v>140</v>
      </c>
      <c r="AC4" s="189"/>
      <c r="AD4" s="189"/>
      <c r="AE4" s="159">
        <f>SUM(AB4:AD4)</f>
        <v>140</v>
      </c>
    </row>
    <row r="5" spans="1:31" s="5" customFormat="1" ht="15" customHeight="1" x14ac:dyDescent="0.2">
      <c r="B5" s="85">
        <v>2211</v>
      </c>
      <c r="C5" s="10" t="s">
        <v>72</v>
      </c>
      <c r="D5" s="134">
        <f t="shared" ref="D5:D68" si="2">+AB5</f>
        <v>0</v>
      </c>
      <c r="E5" s="134">
        <f t="shared" ref="E5:E68" si="3">+AC5</f>
        <v>0</v>
      </c>
      <c r="F5" s="134">
        <f t="shared" ref="F5:F68" si="4">+AD5</f>
        <v>0</v>
      </c>
      <c r="G5" s="39">
        <f t="shared" ref="G5:G68" si="5">SUM(D5:F5)</f>
        <v>0</v>
      </c>
      <c r="H5" s="71">
        <f t="shared" ref="H5:H68" si="6">+P5-G5</f>
        <v>696755</v>
      </c>
      <c r="I5" s="72">
        <f t="shared" ref="I5:I68" si="7">G5+H5</f>
        <v>696755</v>
      </c>
      <c r="J5" s="71">
        <v>626755</v>
      </c>
      <c r="K5" s="39">
        <f t="shared" ref="K5:K68" si="8">+X5</f>
        <v>70000</v>
      </c>
      <c r="L5" s="39">
        <f t="shared" ref="L5:L68" si="9">+Y5</f>
        <v>0</v>
      </c>
      <c r="M5" s="39">
        <f t="shared" ref="M5:M68" si="10">+K5+L5</f>
        <v>70000</v>
      </c>
      <c r="N5" s="72">
        <f t="shared" ref="N5:N68" si="11">J5+M5</f>
        <v>696755</v>
      </c>
      <c r="O5" s="72">
        <v>0</v>
      </c>
      <c r="P5" s="72">
        <f t="shared" ref="P5:P68" si="12">N5+O5</f>
        <v>696755</v>
      </c>
      <c r="Q5" s="74">
        <v>0</v>
      </c>
      <c r="R5" s="9"/>
      <c r="S5" s="93">
        <f t="shared" ref="S5:S80" si="13">+P5-G5</f>
        <v>696755</v>
      </c>
      <c r="T5" s="94" t="e">
        <f>+S5/G5</f>
        <v>#DIV/0!</v>
      </c>
      <c r="U5" s="104">
        <f t="shared" ref="U5:U86" si="14">+P5-G5</f>
        <v>696755</v>
      </c>
      <c r="X5" s="189">
        <v>70000</v>
      </c>
      <c r="Y5" s="189"/>
      <c r="Z5" s="159">
        <f t="shared" ref="Z5:Z68" si="15">SUM(X5:Y5)</f>
        <v>70000</v>
      </c>
      <c r="AB5" s="189"/>
      <c r="AC5" s="189"/>
      <c r="AD5" s="189"/>
      <c r="AE5" s="159">
        <f t="shared" ref="AE5:AE68" si="16">SUM(AB5:AD5)</f>
        <v>0</v>
      </c>
    </row>
    <row r="6" spans="1:31" s="5" customFormat="1" ht="15" customHeight="1" x14ac:dyDescent="0.2">
      <c r="B6" s="85">
        <v>2213</v>
      </c>
      <c r="C6" s="73" t="s">
        <v>262</v>
      </c>
      <c r="D6" s="134">
        <f t="shared" si="2"/>
        <v>500</v>
      </c>
      <c r="E6" s="134">
        <f t="shared" si="3"/>
        <v>0</v>
      </c>
      <c r="F6" s="134">
        <f t="shared" si="4"/>
        <v>0</v>
      </c>
      <c r="G6" s="39">
        <f t="shared" si="5"/>
        <v>500</v>
      </c>
      <c r="H6" s="71">
        <f t="shared" si="6"/>
        <v>15862</v>
      </c>
      <c r="I6" s="72">
        <f t="shared" si="7"/>
        <v>16362</v>
      </c>
      <c r="J6" s="71">
        <v>16362</v>
      </c>
      <c r="K6" s="39">
        <f t="shared" si="8"/>
        <v>0</v>
      </c>
      <c r="L6" s="39">
        <f t="shared" si="9"/>
        <v>0</v>
      </c>
      <c r="M6" s="39">
        <f t="shared" si="10"/>
        <v>0</v>
      </c>
      <c r="N6" s="72">
        <f t="shared" si="11"/>
        <v>16362</v>
      </c>
      <c r="O6" s="72">
        <v>0</v>
      </c>
      <c r="P6" s="72">
        <f t="shared" si="12"/>
        <v>16362</v>
      </c>
      <c r="Q6" s="74">
        <v>0</v>
      </c>
      <c r="R6" s="9"/>
      <c r="S6" s="93">
        <f t="shared" si="13"/>
        <v>15862</v>
      </c>
      <c r="T6" s="94"/>
      <c r="U6" s="104"/>
      <c r="X6" s="189"/>
      <c r="Y6" s="189"/>
      <c r="Z6" s="159">
        <f t="shared" si="15"/>
        <v>0</v>
      </c>
      <c r="AB6" s="189">
        <v>500</v>
      </c>
      <c r="AC6" s="189"/>
      <c r="AD6" s="189"/>
      <c r="AE6" s="159">
        <f t="shared" si="16"/>
        <v>500</v>
      </c>
    </row>
    <row r="7" spans="1:31" s="5" customFormat="1" ht="15" customHeight="1" x14ac:dyDescent="0.2">
      <c r="B7" s="85">
        <v>2214</v>
      </c>
      <c r="C7" s="73" t="s">
        <v>273</v>
      </c>
      <c r="D7" s="134">
        <f t="shared" si="2"/>
        <v>0</v>
      </c>
      <c r="E7" s="134">
        <f t="shared" si="3"/>
        <v>0</v>
      </c>
      <c r="F7" s="134">
        <f t="shared" si="4"/>
        <v>0</v>
      </c>
      <c r="G7" s="39">
        <f t="shared" si="5"/>
        <v>0</v>
      </c>
      <c r="H7" s="71">
        <f t="shared" si="6"/>
        <v>211215</v>
      </c>
      <c r="I7" s="72">
        <f t="shared" si="7"/>
        <v>211215</v>
      </c>
      <c r="J7" s="71">
        <v>161215</v>
      </c>
      <c r="K7" s="39">
        <f t="shared" si="8"/>
        <v>0</v>
      </c>
      <c r="L7" s="39">
        <f t="shared" si="9"/>
        <v>50000</v>
      </c>
      <c r="M7" s="39">
        <f t="shared" si="10"/>
        <v>50000</v>
      </c>
      <c r="N7" s="72">
        <f t="shared" si="11"/>
        <v>211215</v>
      </c>
      <c r="O7" s="72">
        <v>0</v>
      </c>
      <c r="P7" s="72">
        <f t="shared" si="12"/>
        <v>211215</v>
      </c>
      <c r="Q7" s="74">
        <v>0</v>
      </c>
      <c r="R7" s="9"/>
      <c r="S7" s="93"/>
      <c r="T7" s="94"/>
      <c r="U7" s="104"/>
      <c r="X7" s="189"/>
      <c r="Y7" s="189">
        <v>50000</v>
      </c>
      <c r="Z7" s="159">
        <f t="shared" si="15"/>
        <v>50000</v>
      </c>
      <c r="AB7" s="189"/>
      <c r="AC7" s="189"/>
      <c r="AD7" s="189"/>
      <c r="AE7" s="159">
        <f t="shared" si="16"/>
        <v>0</v>
      </c>
    </row>
    <row r="8" spans="1:31" s="5" customFormat="1" ht="15" hidden="1" customHeight="1" x14ac:dyDescent="0.2">
      <c r="B8" s="85">
        <v>2274</v>
      </c>
      <c r="C8" s="73" t="s">
        <v>204</v>
      </c>
      <c r="D8" s="134">
        <f t="shared" si="2"/>
        <v>0</v>
      </c>
      <c r="E8" s="134">
        <f t="shared" si="3"/>
        <v>0</v>
      </c>
      <c r="F8" s="134">
        <f t="shared" si="4"/>
        <v>0</v>
      </c>
      <c r="G8" s="39">
        <f t="shared" si="5"/>
        <v>0</v>
      </c>
      <c r="H8" s="71">
        <f t="shared" si="6"/>
        <v>0</v>
      </c>
      <c r="I8" s="72">
        <f t="shared" si="7"/>
        <v>0</v>
      </c>
      <c r="J8" s="71">
        <v>0</v>
      </c>
      <c r="K8" s="39">
        <f t="shared" si="8"/>
        <v>0</v>
      </c>
      <c r="L8" s="39">
        <f t="shared" si="9"/>
        <v>0</v>
      </c>
      <c r="M8" s="39">
        <f t="shared" si="10"/>
        <v>0</v>
      </c>
      <c r="N8" s="72">
        <f t="shared" si="11"/>
        <v>0</v>
      </c>
      <c r="O8" s="72">
        <v>0</v>
      </c>
      <c r="P8" s="72">
        <f t="shared" si="12"/>
        <v>0</v>
      </c>
      <c r="Q8" s="74">
        <v>0</v>
      </c>
      <c r="R8" s="9"/>
      <c r="S8" s="93">
        <f t="shared" si="13"/>
        <v>0</v>
      </c>
      <c r="T8" s="94"/>
      <c r="U8" s="104"/>
      <c r="X8" s="189"/>
      <c r="Y8" s="189"/>
      <c r="Z8" s="159">
        <f t="shared" si="15"/>
        <v>0</v>
      </c>
      <c r="AB8" s="189"/>
      <c r="AC8" s="189"/>
      <c r="AD8" s="189"/>
      <c r="AE8" s="159">
        <f t="shared" si="16"/>
        <v>0</v>
      </c>
    </row>
    <row r="9" spans="1:31" s="5" customFormat="1" ht="15" customHeight="1" x14ac:dyDescent="0.2">
      <c r="B9" s="85">
        <v>2271</v>
      </c>
      <c r="C9" s="73" t="s">
        <v>272</v>
      </c>
      <c r="D9" s="134">
        <f t="shared" si="2"/>
        <v>128166</v>
      </c>
      <c r="E9" s="134">
        <f t="shared" si="3"/>
        <v>0</v>
      </c>
      <c r="F9" s="134">
        <f t="shared" si="4"/>
        <v>0</v>
      </c>
      <c r="G9" s="39">
        <f t="shared" si="5"/>
        <v>128166</v>
      </c>
      <c r="H9" s="71">
        <f t="shared" si="6"/>
        <v>54137</v>
      </c>
      <c r="I9" s="72">
        <f t="shared" si="7"/>
        <v>182303</v>
      </c>
      <c r="J9" s="71">
        <v>50703</v>
      </c>
      <c r="K9" s="39">
        <f t="shared" si="8"/>
        <v>131600</v>
      </c>
      <c r="L9" s="39">
        <f t="shared" si="9"/>
        <v>0</v>
      </c>
      <c r="M9" s="39">
        <f t="shared" si="10"/>
        <v>131600</v>
      </c>
      <c r="N9" s="72">
        <f t="shared" si="11"/>
        <v>182303</v>
      </c>
      <c r="O9" s="72">
        <v>0</v>
      </c>
      <c r="P9" s="72">
        <f t="shared" si="12"/>
        <v>182303</v>
      </c>
      <c r="Q9" s="74">
        <v>0</v>
      </c>
      <c r="R9" s="9"/>
      <c r="S9" s="93"/>
      <c r="T9" s="94"/>
      <c r="U9" s="104"/>
      <c r="X9" s="189">
        <v>131600</v>
      </c>
      <c r="Y9" s="189"/>
      <c r="Z9" s="159">
        <f t="shared" si="15"/>
        <v>131600</v>
      </c>
      <c r="AB9" s="189">
        <v>128166</v>
      </c>
      <c r="AC9" s="189"/>
      <c r="AD9" s="189"/>
      <c r="AE9" s="159">
        <f t="shared" si="16"/>
        <v>128166</v>
      </c>
    </row>
    <row r="10" spans="1:31" hidden="1" x14ac:dyDescent="0.2">
      <c r="B10" s="85">
        <v>2281</v>
      </c>
      <c r="C10" s="10" t="s">
        <v>97</v>
      </c>
      <c r="D10" s="134">
        <f t="shared" si="2"/>
        <v>0</v>
      </c>
      <c r="E10" s="134">
        <f t="shared" si="3"/>
        <v>0</v>
      </c>
      <c r="F10" s="134">
        <f t="shared" si="4"/>
        <v>0</v>
      </c>
      <c r="G10" s="39">
        <f t="shared" si="5"/>
        <v>0</v>
      </c>
      <c r="H10" s="71">
        <f t="shared" si="6"/>
        <v>0</v>
      </c>
      <c r="I10" s="72">
        <f t="shared" si="7"/>
        <v>0</v>
      </c>
      <c r="J10" s="71">
        <v>0</v>
      </c>
      <c r="K10" s="39">
        <f t="shared" si="8"/>
        <v>0</v>
      </c>
      <c r="L10" s="39">
        <f t="shared" si="9"/>
        <v>0</v>
      </c>
      <c r="M10" s="39">
        <f t="shared" si="10"/>
        <v>0</v>
      </c>
      <c r="N10" s="72">
        <f t="shared" si="11"/>
        <v>0</v>
      </c>
      <c r="O10" s="72">
        <v>0</v>
      </c>
      <c r="P10" s="72">
        <f t="shared" si="12"/>
        <v>0</v>
      </c>
      <c r="Q10" s="74">
        <v>0</v>
      </c>
      <c r="R10" s="11">
        <f t="shared" ref="R10:R52" si="17">I10-P10</f>
        <v>0</v>
      </c>
      <c r="S10" s="93">
        <f t="shared" si="13"/>
        <v>0</v>
      </c>
      <c r="T10" s="94" t="e">
        <f t="shared" ref="T10:T37" si="18">+S10/G10</f>
        <v>#DIV/0!</v>
      </c>
      <c r="U10" s="104">
        <f t="shared" si="14"/>
        <v>0</v>
      </c>
      <c r="X10" s="189"/>
      <c r="Y10" s="189"/>
      <c r="Z10" s="159">
        <f t="shared" si="15"/>
        <v>0</v>
      </c>
      <c r="AB10" s="189"/>
      <c r="AC10" s="189"/>
      <c r="AD10" s="189"/>
      <c r="AE10" s="159">
        <f t="shared" si="16"/>
        <v>0</v>
      </c>
    </row>
    <row r="11" spans="1:31" x14ac:dyDescent="0.2">
      <c r="A11" s="5"/>
      <c r="B11" s="38">
        <v>2283</v>
      </c>
      <c r="C11" s="10" t="s">
        <v>149</v>
      </c>
      <c r="D11" s="134">
        <f t="shared" si="2"/>
        <v>60591</v>
      </c>
      <c r="E11" s="134">
        <f t="shared" si="3"/>
        <v>0</v>
      </c>
      <c r="F11" s="134">
        <f t="shared" si="4"/>
        <v>0</v>
      </c>
      <c r="G11" s="39">
        <f t="shared" si="5"/>
        <v>60591</v>
      </c>
      <c r="H11" s="71">
        <f t="shared" si="6"/>
        <v>13675</v>
      </c>
      <c r="I11" s="72">
        <f t="shared" si="7"/>
        <v>74266</v>
      </c>
      <c r="J11" s="71">
        <v>13121</v>
      </c>
      <c r="K11" s="39">
        <f t="shared" si="8"/>
        <v>61145</v>
      </c>
      <c r="L11" s="39">
        <f t="shared" si="9"/>
        <v>0</v>
      </c>
      <c r="M11" s="39">
        <f t="shared" si="10"/>
        <v>61145</v>
      </c>
      <c r="N11" s="72">
        <f t="shared" si="11"/>
        <v>74266</v>
      </c>
      <c r="O11" s="72">
        <v>0</v>
      </c>
      <c r="P11" s="72">
        <f t="shared" si="12"/>
        <v>74266</v>
      </c>
      <c r="Q11" s="74">
        <v>0</v>
      </c>
      <c r="R11" s="95"/>
      <c r="S11" s="93">
        <f t="shared" si="13"/>
        <v>13675</v>
      </c>
      <c r="T11" s="94">
        <f t="shared" si="18"/>
        <v>0.22569358485583668</v>
      </c>
      <c r="U11" s="104">
        <f t="shared" si="14"/>
        <v>13675</v>
      </c>
      <c r="X11" s="189">
        <v>61145</v>
      </c>
      <c r="Y11" s="189"/>
      <c r="Z11" s="159">
        <f t="shared" si="15"/>
        <v>61145</v>
      </c>
      <c r="AB11" s="189">
        <v>60591</v>
      </c>
      <c r="AC11" s="189"/>
      <c r="AD11" s="189"/>
      <c r="AE11" s="159">
        <f t="shared" si="16"/>
        <v>60591</v>
      </c>
    </row>
    <row r="12" spans="1:31" hidden="1" x14ac:dyDescent="0.2">
      <c r="A12" s="5"/>
      <c r="B12" s="38">
        <v>2291</v>
      </c>
      <c r="C12" s="73" t="s">
        <v>177</v>
      </c>
      <c r="D12" s="134">
        <f t="shared" si="2"/>
        <v>0</v>
      </c>
      <c r="E12" s="134">
        <f t="shared" si="3"/>
        <v>0</v>
      </c>
      <c r="F12" s="134">
        <f t="shared" si="4"/>
        <v>0</v>
      </c>
      <c r="G12" s="39">
        <f t="shared" si="5"/>
        <v>0</v>
      </c>
      <c r="H12" s="71">
        <f t="shared" si="6"/>
        <v>0</v>
      </c>
      <c r="I12" s="72">
        <f t="shared" si="7"/>
        <v>0</v>
      </c>
      <c r="J12" s="71">
        <v>0</v>
      </c>
      <c r="K12" s="39">
        <f t="shared" si="8"/>
        <v>0</v>
      </c>
      <c r="L12" s="39">
        <f t="shared" si="9"/>
        <v>0</v>
      </c>
      <c r="M12" s="39">
        <f t="shared" si="10"/>
        <v>0</v>
      </c>
      <c r="N12" s="72">
        <f t="shared" si="11"/>
        <v>0</v>
      </c>
      <c r="O12" s="72">
        <v>0</v>
      </c>
      <c r="P12" s="72">
        <f t="shared" si="12"/>
        <v>0</v>
      </c>
      <c r="Q12" s="74">
        <v>0</v>
      </c>
      <c r="R12" s="11"/>
      <c r="S12" s="93">
        <f t="shared" si="13"/>
        <v>0</v>
      </c>
      <c r="T12" s="94" t="e">
        <f t="shared" ref="T12" si="19">+S12/G12</f>
        <v>#DIV/0!</v>
      </c>
      <c r="U12" s="104">
        <f t="shared" si="14"/>
        <v>0</v>
      </c>
      <c r="X12" s="189"/>
      <c r="Y12" s="189"/>
      <c r="Z12" s="159">
        <f t="shared" si="15"/>
        <v>0</v>
      </c>
      <c r="AB12" s="189"/>
      <c r="AC12" s="189"/>
      <c r="AD12" s="189"/>
      <c r="AE12" s="159">
        <f t="shared" si="16"/>
        <v>0</v>
      </c>
    </row>
    <row r="13" spans="1:31" x14ac:dyDescent="0.2">
      <c r="A13" s="5"/>
      <c r="B13" s="38">
        <v>2292</v>
      </c>
      <c r="C13" s="73" t="s">
        <v>200</v>
      </c>
      <c r="D13" s="134">
        <f t="shared" si="2"/>
        <v>58000</v>
      </c>
      <c r="E13" s="134">
        <f t="shared" si="3"/>
        <v>0</v>
      </c>
      <c r="F13" s="134">
        <f t="shared" si="4"/>
        <v>58000</v>
      </c>
      <c r="G13" s="39">
        <f t="shared" si="5"/>
        <v>116000</v>
      </c>
      <c r="H13" s="71">
        <f t="shared" si="6"/>
        <v>-4608</v>
      </c>
      <c r="I13" s="72">
        <f t="shared" si="7"/>
        <v>111392</v>
      </c>
      <c r="J13" s="71">
        <v>18692</v>
      </c>
      <c r="K13" s="39">
        <f t="shared" si="8"/>
        <v>92700</v>
      </c>
      <c r="L13" s="39">
        <f t="shared" si="9"/>
        <v>0</v>
      </c>
      <c r="M13" s="39">
        <f t="shared" si="10"/>
        <v>92700</v>
      </c>
      <c r="N13" s="72">
        <f t="shared" si="11"/>
        <v>111392</v>
      </c>
      <c r="O13" s="72">
        <v>0</v>
      </c>
      <c r="P13" s="72">
        <f t="shared" si="12"/>
        <v>111392</v>
      </c>
      <c r="Q13" s="74">
        <v>0</v>
      </c>
      <c r="R13" s="11"/>
      <c r="S13" s="93">
        <f t="shared" si="13"/>
        <v>-4608</v>
      </c>
      <c r="T13" s="94"/>
      <c r="U13" s="104"/>
      <c r="X13" s="189">
        <v>92700</v>
      </c>
      <c r="Y13" s="189"/>
      <c r="Z13" s="159">
        <f t="shared" si="15"/>
        <v>92700</v>
      </c>
      <c r="AB13" s="189">
        <v>58000</v>
      </c>
      <c r="AC13" s="189"/>
      <c r="AD13" s="189">
        <v>58000</v>
      </c>
      <c r="AE13" s="159">
        <f t="shared" si="16"/>
        <v>116000</v>
      </c>
    </row>
    <row r="14" spans="1:31" x14ac:dyDescent="0.2">
      <c r="A14" s="5"/>
      <c r="B14" s="85">
        <v>2320</v>
      </c>
      <c r="C14" s="10" t="s">
        <v>150</v>
      </c>
      <c r="D14" s="134">
        <f t="shared" si="2"/>
        <v>36598</v>
      </c>
      <c r="E14" s="134">
        <f t="shared" si="3"/>
        <v>0</v>
      </c>
      <c r="F14" s="134">
        <f t="shared" si="4"/>
        <v>0</v>
      </c>
      <c r="G14" s="39">
        <f t="shared" si="5"/>
        <v>36598</v>
      </c>
      <c r="H14" s="71">
        <f t="shared" si="6"/>
        <v>118406</v>
      </c>
      <c r="I14" s="72">
        <f t="shared" si="7"/>
        <v>155004</v>
      </c>
      <c r="J14" s="71">
        <v>128004</v>
      </c>
      <c r="K14" s="39">
        <f t="shared" si="8"/>
        <v>27000</v>
      </c>
      <c r="L14" s="39">
        <f t="shared" si="9"/>
        <v>0</v>
      </c>
      <c r="M14" s="39">
        <f t="shared" si="10"/>
        <v>27000</v>
      </c>
      <c r="N14" s="72">
        <f t="shared" si="11"/>
        <v>155004</v>
      </c>
      <c r="O14" s="72">
        <v>0</v>
      </c>
      <c r="P14" s="72">
        <f t="shared" si="12"/>
        <v>155004</v>
      </c>
      <c r="Q14" s="74">
        <v>0</v>
      </c>
      <c r="R14" s="11">
        <f t="shared" si="17"/>
        <v>0</v>
      </c>
      <c r="S14" s="93">
        <f t="shared" si="13"/>
        <v>118406</v>
      </c>
      <c r="T14" s="94">
        <f t="shared" si="18"/>
        <v>3.2353134051041041</v>
      </c>
      <c r="U14" s="104">
        <f t="shared" si="14"/>
        <v>118406</v>
      </c>
      <c r="X14" s="189">
        <v>27000</v>
      </c>
      <c r="Y14" s="189"/>
      <c r="Z14" s="159">
        <f t="shared" si="15"/>
        <v>27000</v>
      </c>
      <c r="AB14" s="189">
        <v>36598</v>
      </c>
      <c r="AC14" s="189"/>
      <c r="AD14" s="189"/>
      <c r="AE14" s="159">
        <f t="shared" si="16"/>
        <v>36598</v>
      </c>
    </row>
    <row r="15" spans="1:31" x14ac:dyDescent="0.2">
      <c r="A15" s="5"/>
      <c r="B15" s="85">
        <v>2340</v>
      </c>
      <c r="C15" s="10" t="s">
        <v>73</v>
      </c>
      <c r="D15" s="134">
        <f t="shared" si="2"/>
        <v>18665</v>
      </c>
      <c r="E15" s="134">
        <f t="shared" si="3"/>
        <v>0</v>
      </c>
      <c r="F15" s="134">
        <f t="shared" si="4"/>
        <v>0</v>
      </c>
      <c r="G15" s="39">
        <f t="shared" si="5"/>
        <v>18665</v>
      </c>
      <c r="H15" s="71">
        <f t="shared" si="6"/>
        <v>57954</v>
      </c>
      <c r="I15" s="72">
        <f t="shared" si="7"/>
        <v>76619</v>
      </c>
      <c r="J15" s="71">
        <v>57454</v>
      </c>
      <c r="K15" s="39">
        <f t="shared" si="8"/>
        <v>19165</v>
      </c>
      <c r="L15" s="39">
        <f t="shared" si="9"/>
        <v>0</v>
      </c>
      <c r="M15" s="39">
        <f t="shared" si="10"/>
        <v>19165</v>
      </c>
      <c r="N15" s="72">
        <f t="shared" si="11"/>
        <v>76619</v>
      </c>
      <c r="O15" s="72">
        <v>0</v>
      </c>
      <c r="P15" s="72">
        <f t="shared" si="12"/>
        <v>76619</v>
      </c>
      <c r="Q15" s="74">
        <v>0</v>
      </c>
      <c r="R15" s="11">
        <f t="shared" si="17"/>
        <v>0</v>
      </c>
      <c r="S15" s="93">
        <f t="shared" si="13"/>
        <v>57954</v>
      </c>
      <c r="T15" s="94">
        <f t="shared" si="18"/>
        <v>3.1049557996249666</v>
      </c>
      <c r="U15" s="104">
        <f t="shared" si="14"/>
        <v>57954</v>
      </c>
      <c r="X15" s="189">
        <v>19165</v>
      </c>
      <c r="Y15" s="189"/>
      <c r="Z15" s="159">
        <f t="shared" si="15"/>
        <v>19165</v>
      </c>
      <c r="AB15" s="189">
        <v>18665</v>
      </c>
      <c r="AC15" s="189"/>
      <c r="AD15" s="189"/>
      <c r="AE15" s="159">
        <f t="shared" si="16"/>
        <v>18665</v>
      </c>
    </row>
    <row r="16" spans="1:31" x14ac:dyDescent="0.2">
      <c r="A16" s="5"/>
      <c r="B16" s="85">
        <v>2350</v>
      </c>
      <c r="C16" s="10" t="s">
        <v>74</v>
      </c>
      <c r="D16" s="134">
        <f t="shared" si="2"/>
        <v>5500</v>
      </c>
      <c r="E16" s="134">
        <f t="shared" si="3"/>
        <v>0</v>
      </c>
      <c r="F16" s="134">
        <f t="shared" si="4"/>
        <v>0</v>
      </c>
      <c r="G16" s="39">
        <f t="shared" si="5"/>
        <v>5500</v>
      </c>
      <c r="H16" s="71">
        <f t="shared" si="6"/>
        <v>4551</v>
      </c>
      <c r="I16" s="72">
        <f t="shared" si="7"/>
        <v>10051</v>
      </c>
      <c r="J16" s="71">
        <v>4551</v>
      </c>
      <c r="K16" s="39">
        <f t="shared" si="8"/>
        <v>4000</v>
      </c>
      <c r="L16" s="39">
        <f t="shared" si="9"/>
        <v>1500</v>
      </c>
      <c r="M16" s="39">
        <f t="shared" si="10"/>
        <v>5500</v>
      </c>
      <c r="N16" s="72">
        <f t="shared" si="11"/>
        <v>10051</v>
      </c>
      <c r="O16" s="72">
        <v>0</v>
      </c>
      <c r="P16" s="72">
        <f t="shared" si="12"/>
        <v>10051</v>
      </c>
      <c r="Q16" s="74">
        <v>0</v>
      </c>
      <c r="R16" s="11">
        <f t="shared" si="17"/>
        <v>0</v>
      </c>
      <c r="S16" s="93">
        <f t="shared" si="13"/>
        <v>4551</v>
      </c>
      <c r="T16" s="94">
        <f t="shared" si="18"/>
        <v>0.82745454545454544</v>
      </c>
      <c r="U16" s="104">
        <f t="shared" si="14"/>
        <v>4551</v>
      </c>
      <c r="X16" s="189">
        <v>4000</v>
      </c>
      <c r="Y16" s="189">
        <v>1500</v>
      </c>
      <c r="Z16" s="159">
        <f t="shared" si="15"/>
        <v>5500</v>
      </c>
      <c r="AB16" s="189">
        <v>5500</v>
      </c>
      <c r="AC16" s="189"/>
      <c r="AD16" s="189"/>
      <c r="AE16" s="159">
        <f t="shared" si="16"/>
        <v>5500</v>
      </c>
    </row>
    <row r="17" spans="1:31" hidden="1" x14ac:dyDescent="0.2">
      <c r="A17" s="5"/>
      <c r="B17" s="85">
        <v>2360</v>
      </c>
      <c r="C17" s="10" t="s">
        <v>152</v>
      </c>
      <c r="D17" s="134">
        <f t="shared" si="2"/>
        <v>0</v>
      </c>
      <c r="E17" s="134">
        <f t="shared" si="3"/>
        <v>0</v>
      </c>
      <c r="F17" s="134">
        <f t="shared" si="4"/>
        <v>0</v>
      </c>
      <c r="G17" s="39">
        <f t="shared" si="5"/>
        <v>0</v>
      </c>
      <c r="H17" s="71">
        <f t="shared" si="6"/>
        <v>0</v>
      </c>
      <c r="I17" s="72">
        <f t="shared" si="7"/>
        <v>0</v>
      </c>
      <c r="J17" s="71">
        <v>0</v>
      </c>
      <c r="K17" s="39">
        <f t="shared" si="8"/>
        <v>0</v>
      </c>
      <c r="L17" s="39">
        <f t="shared" si="9"/>
        <v>0</v>
      </c>
      <c r="M17" s="39">
        <f t="shared" si="10"/>
        <v>0</v>
      </c>
      <c r="N17" s="72">
        <f t="shared" si="11"/>
        <v>0</v>
      </c>
      <c r="O17" s="72">
        <v>0</v>
      </c>
      <c r="P17" s="72">
        <f t="shared" si="12"/>
        <v>0</v>
      </c>
      <c r="Q17" s="74">
        <v>0</v>
      </c>
      <c r="R17" s="11">
        <f t="shared" si="17"/>
        <v>0</v>
      </c>
      <c r="S17" s="93">
        <f t="shared" si="13"/>
        <v>0</v>
      </c>
      <c r="T17" s="94" t="e">
        <f t="shared" si="18"/>
        <v>#DIV/0!</v>
      </c>
      <c r="U17" s="104">
        <f t="shared" si="14"/>
        <v>0</v>
      </c>
      <c r="X17" s="189"/>
      <c r="Y17" s="189"/>
      <c r="Z17" s="159">
        <f t="shared" si="15"/>
        <v>0</v>
      </c>
      <c r="AB17" s="189"/>
      <c r="AC17" s="189"/>
      <c r="AD17" s="189"/>
      <c r="AE17" s="159">
        <f t="shared" si="16"/>
        <v>0</v>
      </c>
    </row>
    <row r="18" spans="1:31" hidden="1" x14ac:dyDescent="0.2">
      <c r="A18" s="5"/>
      <c r="B18" s="85">
        <v>2374</v>
      </c>
      <c r="C18" s="10" t="s">
        <v>56</v>
      </c>
      <c r="D18" s="134">
        <f t="shared" si="2"/>
        <v>0</v>
      </c>
      <c r="E18" s="134">
        <f t="shared" si="3"/>
        <v>0</v>
      </c>
      <c r="F18" s="134">
        <f t="shared" si="4"/>
        <v>0</v>
      </c>
      <c r="G18" s="39">
        <f t="shared" si="5"/>
        <v>0</v>
      </c>
      <c r="H18" s="71">
        <f t="shared" si="6"/>
        <v>0</v>
      </c>
      <c r="I18" s="72">
        <f t="shared" si="7"/>
        <v>0</v>
      </c>
      <c r="J18" s="71"/>
      <c r="K18" s="39">
        <f t="shared" si="8"/>
        <v>0</v>
      </c>
      <c r="L18" s="39">
        <f t="shared" si="9"/>
        <v>0</v>
      </c>
      <c r="M18" s="39">
        <f t="shared" si="10"/>
        <v>0</v>
      </c>
      <c r="N18" s="72">
        <f t="shared" si="11"/>
        <v>0</v>
      </c>
      <c r="O18" s="72">
        <v>0</v>
      </c>
      <c r="P18" s="72">
        <f t="shared" si="12"/>
        <v>0</v>
      </c>
      <c r="Q18" s="74">
        <v>0</v>
      </c>
      <c r="R18" s="11">
        <f t="shared" si="17"/>
        <v>0</v>
      </c>
      <c r="S18" s="93">
        <f t="shared" si="13"/>
        <v>0</v>
      </c>
      <c r="T18" s="94" t="e">
        <f t="shared" si="18"/>
        <v>#DIV/0!</v>
      </c>
      <c r="U18" s="104">
        <f t="shared" si="14"/>
        <v>0</v>
      </c>
      <c r="X18" s="189"/>
      <c r="Y18" s="189"/>
      <c r="Z18" s="159">
        <f t="shared" si="15"/>
        <v>0</v>
      </c>
      <c r="AB18" s="189"/>
      <c r="AC18" s="189"/>
      <c r="AD18" s="189"/>
      <c r="AE18" s="159">
        <f t="shared" si="16"/>
        <v>0</v>
      </c>
    </row>
    <row r="19" spans="1:31" x14ac:dyDescent="0.2">
      <c r="A19" s="5"/>
      <c r="B19" s="85">
        <v>2390</v>
      </c>
      <c r="C19" s="73" t="s">
        <v>172</v>
      </c>
      <c r="D19" s="134">
        <f t="shared" si="2"/>
        <v>0</v>
      </c>
      <c r="E19" s="134">
        <f t="shared" si="3"/>
        <v>0</v>
      </c>
      <c r="F19" s="134">
        <f t="shared" si="4"/>
        <v>0</v>
      </c>
      <c r="G19" s="39">
        <f t="shared" si="5"/>
        <v>0</v>
      </c>
      <c r="H19" s="71">
        <f t="shared" si="6"/>
        <v>9458</v>
      </c>
      <c r="I19" s="72">
        <f t="shared" si="7"/>
        <v>9458</v>
      </c>
      <c r="J19" s="71">
        <v>9458</v>
      </c>
      <c r="K19" s="39">
        <f t="shared" si="8"/>
        <v>0</v>
      </c>
      <c r="L19" s="39">
        <f t="shared" si="9"/>
        <v>0</v>
      </c>
      <c r="M19" s="39">
        <f t="shared" si="10"/>
        <v>0</v>
      </c>
      <c r="N19" s="72">
        <f t="shared" si="11"/>
        <v>9458</v>
      </c>
      <c r="O19" s="72">
        <v>0</v>
      </c>
      <c r="P19" s="72">
        <f t="shared" si="12"/>
        <v>9458</v>
      </c>
      <c r="Q19" s="74">
        <v>0</v>
      </c>
      <c r="R19" s="11">
        <f t="shared" si="17"/>
        <v>0</v>
      </c>
      <c r="S19" s="93">
        <f t="shared" si="13"/>
        <v>9458</v>
      </c>
      <c r="T19" s="94" t="e">
        <f t="shared" si="18"/>
        <v>#DIV/0!</v>
      </c>
      <c r="U19" s="104">
        <f t="shared" si="14"/>
        <v>9458</v>
      </c>
      <c r="X19" s="189"/>
      <c r="Y19" s="189"/>
      <c r="Z19" s="159">
        <f t="shared" si="15"/>
        <v>0</v>
      </c>
      <c r="AB19" s="189"/>
      <c r="AC19" s="189"/>
      <c r="AD19" s="189"/>
      <c r="AE19" s="159">
        <f t="shared" si="16"/>
        <v>0</v>
      </c>
    </row>
    <row r="20" spans="1:31" x14ac:dyDescent="0.2">
      <c r="A20" s="5"/>
      <c r="B20" s="85">
        <v>2391</v>
      </c>
      <c r="C20" s="10" t="s">
        <v>75</v>
      </c>
      <c r="D20" s="134">
        <f t="shared" si="2"/>
        <v>160896</v>
      </c>
      <c r="E20" s="134">
        <f t="shared" si="3"/>
        <v>0</v>
      </c>
      <c r="F20" s="134">
        <f t="shared" si="4"/>
        <v>27434</v>
      </c>
      <c r="G20" s="39">
        <f t="shared" si="5"/>
        <v>188330</v>
      </c>
      <c r="H20" s="71">
        <f t="shared" si="6"/>
        <v>359385</v>
      </c>
      <c r="I20" s="72">
        <f t="shared" si="7"/>
        <v>547715</v>
      </c>
      <c r="J20" s="71">
        <v>364695</v>
      </c>
      <c r="K20" s="39">
        <f t="shared" si="8"/>
        <v>183020</v>
      </c>
      <c r="L20" s="39">
        <f t="shared" si="9"/>
        <v>0</v>
      </c>
      <c r="M20" s="39">
        <f t="shared" si="10"/>
        <v>183020</v>
      </c>
      <c r="N20" s="72">
        <f t="shared" si="11"/>
        <v>547715</v>
      </c>
      <c r="O20" s="72">
        <v>0</v>
      </c>
      <c r="P20" s="72">
        <f t="shared" si="12"/>
        <v>547715</v>
      </c>
      <c r="Q20" s="74">
        <v>0</v>
      </c>
      <c r="R20" s="11">
        <f t="shared" si="17"/>
        <v>0</v>
      </c>
      <c r="S20" s="93">
        <f t="shared" si="13"/>
        <v>359385</v>
      </c>
      <c r="T20" s="94">
        <f t="shared" si="18"/>
        <v>1.9082727127913768</v>
      </c>
      <c r="U20" s="104">
        <f t="shared" si="14"/>
        <v>359385</v>
      </c>
      <c r="X20" s="189">
        <v>183020</v>
      </c>
      <c r="Y20" s="189"/>
      <c r="Z20" s="159">
        <f t="shared" si="15"/>
        <v>183020</v>
      </c>
      <c r="AB20" s="189">
        <v>160896</v>
      </c>
      <c r="AC20" s="189"/>
      <c r="AD20" s="189">
        <v>27434</v>
      </c>
      <c r="AE20" s="159">
        <f t="shared" si="16"/>
        <v>188330</v>
      </c>
    </row>
    <row r="21" spans="1:31" x14ac:dyDescent="0.2">
      <c r="B21" s="85">
        <v>2393</v>
      </c>
      <c r="C21" s="10" t="s">
        <v>98</v>
      </c>
      <c r="D21" s="134">
        <f t="shared" si="2"/>
        <v>500</v>
      </c>
      <c r="E21" s="134">
        <f t="shared" si="3"/>
        <v>0</v>
      </c>
      <c r="F21" s="134">
        <f t="shared" si="4"/>
        <v>0</v>
      </c>
      <c r="G21" s="39">
        <f t="shared" si="5"/>
        <v>500</v>
      </c>
      <c r="H21" s="71">
        <f t="shared" si="6"/>
        <v>83817</v>
      </c>
      <c r="I21" s="72">
        <f t="shared" si="7"/>
        <v>84317</v>
      </c>
      <c r="J21" s="71">
        <v>84317</v>
      </c>
      <c r="K21" s="39">
        <f t="shared" si="8"/>
        <v>0</v>
      </c>
      <c r="L21" s="39">
        <f t="shared" si="9"/>
        <v>0</v>
      </c>
      <c r="M21" s="39">
        <f t="shared" si="10"/>
        <v>0</v>
      </c>
      <c r="N21" s="72">
        <f t="shared" si="11"/>
        <v>84317</v>
      </c>
      <c r="O21" s="72">
        <v>0</v>
      </c>
      <c r="P21" s="72">
        <f t="shared" si="12"/>
        <v>84317</v>
      </c>
      <c r="Q21" s="74">
        <v>0</v>
      </c>
      <c r="R21" s="11">
        <f t="shared" si="17"/>
        <v>0</v>
      </c>
      <c r="S21" s="93">
        <f t="shared" si="13"/>
        <v>83817</v>
      </c>
      <c r="T21" s="94">
        <f t="shared" si="18"/>
        <v>167.63399999999999</v>
      </c>
      <c r="U21" s="104">
        <f t="shared" si="14"/>
        <v>83817</v>
      </c>
      <c r="X21" s="189"/>
      <c r="Y21" s="189"/>
      <c r="Z21" s="159">
        <f t="shared" si="15"/>
        <v>0</v>
      </c>
      <c r="AB21" s="189">
        <v>500</v>
      </c>
      <c r="AC21" s="189"/>
      <c r="AD21" s="189"/>
      <c r="AE21" s="159">
        <f t="shared" si="16"/>
        <v>500</v>
      </c>
    </row>
    <row r="22" spans="1:31" x14ac:dyDescent="0.2">
      <c r="A22" s="5"/>
      <c r="B22" s="85">
        <v>2394</v>
      </c>
      <c r="C22" s="10" t="s">
        <v>76</v>
      </c>
      <c r="D22" s="134">
        <f t="shared" si="2"/>
        <v>34542</v>
      </c>
      <c r="E22" s="134">
        <f t="shared" si="3"/>
        <v>0</v>
      </c>
      <c r="F22" s="134">
        <f t="shared" si="4"/>
        <v>185</v>
      </c>
      <c r="G22" s="39">
        <f t="shared" si="5"/>
        <v>34727</v>
      </c>
      <c r="H22" s="71">
        <f t="shared" si="6"/>
        <v>125127</v>
      </c>
      <c r="I22" s="72">
        <f t="shared" si="7"/>
        <v>159854</v>
      </c>
      <c r="J22" s="71">
        <v>124854</v>
      </c>
      <c r="K22" s="39">
        <f t="shared" si="8"/>
        <v>35000</v>
      </c>
      <c r="L22" s="39">
        <f t="shared" si="9"/>
        <v>0</v>
      </c>
      <c r="M22" s="39">
        <f t="shared" si="10"/>
        <v>35000</v>
      </c>
      <c r="N22" s="72">
        <f t="shared" si="11"/>
        <v>159854</v>
      </c>
      <c r="O22" s="72">
        <v>0</v>
      </c>
      <c r="P22" s="72">
        <f t="shared" si="12"/>
        <v>159854</v>
      </c>
      <c r="Q22" s="74">
        <v>0</v>
      </c>
      <c r="R22" s="11">
        <f t="shared" si="17"/>
        <v>0</v>
      </c>
      <c r="S22" s="93">
        <f t="shared" si="13"/>
        <v>125127</v>
      </c>
      <c r="T22" s="94">
        <f t="shared" si="18"/>
        <v>3.6031618049356409</v>
      </c>
      <c r="U22" s="104">
        <f t="shared" si="14"/>
        <v>125127</v>
      </c>
      <c r="X22" s="189">
        <v>35000</v>
      </c>
      <c r="Y22" s="189"/>
      <c r="Z22" s="159">
        <f t="shared" si="15"/>
        <v>35000</v>
      </c>
      <c r="AB22" s="189">
        <v>34542</v>
      </c>
      <c r="AC22" s="189"/>
      <c r="AD22" s="189">
        <v>185</v>
      </c>
      <c r="AE22" s="159">
        <f t="shared" si="16"/>
        <v>34727</v>
      </c>
    </row>
    <row r="23" spans="1:31" x14ac:dyDescent="0.2">
      <c r="A23" s="5"/>
      <c r="B23" s="85">
        <v>2395</v>
      </c>
      <c r="C23" s="10" t="s">
        <v>77</v>
      </c>
      <c r="D23" s="134">
        <f t="shared" si="2"/>
        <v>142489</v>
      </c>
      <c r="E23" s="134">
        <f t="shared" si="3"/>
        <v>0</v>
      </c>
      <c r="F23" s="134">
        <f t="shared" si="4"/>
        <v>15155</v>
      </c>
      <c r="G23" s="39">
        <f t="shared" si="5"/>
        <v>157644</v>
      </c>
      <c r="H23" s="71">
        <f t="shared" si="6"/>
        <v>258530</v>
      </c>
      <c r="I23" s="72">
        <f t="shared" si="7"/>
        <v>416174</v>
      </c>
      <c r="J23" s="71">
        <v>325274</v>
      </c>
      <c r="K23" s="39">
        <f t="shared" si="8"/>
        <v>85400</v>
      </c>
      <c r="L23" s="39">
        <f t="shared" si="9"/>
        <v>5500</v>
      </c>
      <c r="M23" s="39">
        <f t="shared" si="10"/>
        <v>90900</v>
      </c>
      <c r="N23" s="72">
        <f t="shared" si="11"/>
        <v>416174</v>
      </c>
      <c r="O23" s="72">
        <v>0</v>
      </c>
      <c r="P23" s="72">
        <f t="shared" si="12"/>
        <v>416174</v>
      </c>
      <c r="Q23" s="74">
        <v>0</v>
      </c>
      <c r="R23" s="11">
        <f t="shared" si="17"/>
        <v>0</v>
      </c>
      <c r="S23" s="93">
        <f t="shared" si="13"/>
        <v>258530</v>
      </c>
      <c r="T23" s="94">
        <f t="shared" si="18"/>
        <v>1.6399609246149551</v>
      </c>
      <c r="U23" s="104">
        <f t="shared" si="14"/>
        <v>258530</v>
      </c>
      <c r="X23" s="189">
        <v>85400</v>
      </c>
      <c r="Y23" s="189">
        <v>5500</v>
      </c>
      <c r="Z23" s="159">
        <f t="shared" si="15"/>
        <v>90900</v>
      </c>
      <c r="AB23" s="189">
        <v>142489</v>
      </c>
      <c r="AC23" s="189"/>
      <c r="AD23" s="189">
        <v>15155</v>
      </c>
      <c r="AE23" s="159">
        <f t="shared" si="16"/>
        <v>157644</v>
      </c>
    </row>
    <row r="24" spans="1:31" x14ac:dyDescent="0.2">
      <c r="A24" s="5"/>
      <c r="B24" s="85">
        <v>2398</v>
      </c>
      <c r="C24" s="73" t="s">
        <v>294</v>
      </c>
      <c r="D24" s="134">
        <f t="shared" si="2"/>
        <v>32898</v>
      </c>
      <c r="E24" s="134">
        <f t="shared" si="3"/>
        <v>0</v>
      </c>
      <c r="F24" s="134">
        <f t="shared" si="4"/>
        <v>0</v>
      </c>
      <c r="G24" s="39">
        <f t="shared" si="5"/>
        <v>32898</v>
      </c>
      <c r="H24" s="71">
        <f t="shared" si="6"/>
        <v>27666</v>
      </c>
      <c r="I24" s="72">
        <f t="shared" si="7"/>
        <v>60564</v>
      </c>
      <c r="J24" s="71">
        <v>35564</v>
      </c>
      <c r="K24" s="39">
        <f t="shared" si="8"/>
        <v>0</v>
      </c>
      <c r="L24" s="39">
        <f t="shared" si="9"/>
        <v>25000</v>
      </c>
      <c r="M24" s="39">
        <f t="shared" si="10"/>
        <v>25000</v>
      </c>
      <c r="N24" s="72">
        <f t="shared" si="11"/>
        <v>60564</v>
      </c>
      <c r="O24" s="72">
        <v>0</v>
      </c>
      <c r="P24" s="72">
        <f t="shared" si="12"/>
        <v>60564</v>
      </c>
      <c r="Q24" s="74">
        <v>0</v>
      </c>
      <c r="R24" s="11"/>
      <c r="S24" s="93"/>
      <c r="T24" s="94"/>
      <c r="U24" s="104"/>
      <c r="X24" s="189">
        <v>0</v>
      </c>
      <c r="Y24" s="189">
        <v>25000</v>
      </c>
      <c r="Z24" s="159">
        <f t="shared" si="15"/>
        <v>25000</v>
      </c>
      <c r="AB24" s="189">
        <v>32898</v>
      </c>
      <c r="AC24" s="189"/>
      <c r="AD24" s="189"/>
      <c r="AE24" s="159">
        <f t="shared" si="16"/>
        <v>32898</v>
      </c>
    </row>
    <row r="25" spans="1:31" x14ac:dyDescent="0.2">
      <c r="A25" s="5"/>
      <c r="B25" s="85">
        <v>2820</v>
      </c>
      <c r="C25" s="10" t="s">
        <v>78</v>
      </c>
      <c r="D25" s="134">
        <f t="shared" si="2"/>
        <v>1504500</v>
      </c>
      <c r="E25" s="134">
        <f t="shared" si="3"/>
        <v>318749</v>
      </c>
      <c r="F25" s="134">
        <f t="shared" si="4"/>
        <v>0</v>
      </c>
      <c r="G25" s="39">
        <f t="shared" si="5"/>
        <v>1823249</v>
      </c>
      <c r="H25" s="71">
        <f t="shared" si="6"/>
        <v>739949</v>
      </c>
      <c r="I25" s="72">
        <f t="shared" si="7"/>
        <v>2563198</v>
      </c>
      <c r="J25" s="71">
        <v>1357037</v>
      </c>
      <c r="K25" s="39">
        <f t="shared" si="8"/>
        <v>1206161</v>
      </c>
      <c r="L25" s="39">
        <f t="shared" si="9"/>
        <v>0</v>
      </c>
      <c r="M25" s="39">
        <f t="shared" si="10"/>
        <v>1206161</v>
      </c>
      <c r="N25" s="72">
        <f t="shared" si="11"/>
        <v>2563198</v>
      </c>
      <c r="O25" s="72">
        <v>0</v>
      </c>
      <c r="P25" s="72">
        <f t="shared" si="12"/>
        <v>2563198</v>
      </c>
      <c r="Q25" s="74">
        <v>0</v>
      </c>
      <c r="R25" s="11">
        <f t="shared" si="17"/>
        <v>0</v>
      </c>
      <c r="S25" s="93">
        <f t="shared" si="13"/>
        <v>739949</v>
      </c>
      <c r="T25" s="94">
        <f t="shared" si="18"/>
        <v>0.40584089172680199</v>
      </c>
      <c r="U25" s="104">
        <f t="shared" si="14"/>
        <v>739949</v>
      </c>
      <c r="X25" s="189">
        <v>1206161</v>
      </c>
      <c r="Y25" s="189"/>
      <c r="Z25" s="159">
        <f t="shared" si="15"/>
        <v>1206161</v>
      </c>
      <c r="AB25" s="189">
        <v>1504500</v>
      </c>
      <c r="AC25" s="189">
        <v>318749</v>
      </c>
      <c r="AD25" s="189"/>
      <c r="AE25" s="159">
        <f t="shared" si="16"/>
        <v>1823249</v>
      </c>
    </row>
    <row r="26" spans="1:31" x14ac:dyDescent="0.2">
      <c r="A26" s="5"/>
      <c r="B26" s="85">
        <v>2821</v>
      </c>
      <c r="C26" s="73" t="s">
        <v>260</v>
      </c>
      <c r="D26" s="134">
        <f t="shared" si="2"/>
        <v>0</v>
      </c>
      <c r="E26" s="134">
        <f t="shared" si="3"/>
        <v>0</v>
      </c>
      <c r="F26" s="134">
        <f t="shared" si="4"/>
        <v>0</v>
      </c>
      <c r="G26" s="39">
        <f t="shared" si="5"/>
        <v>0</v>
      </c>
      <c r="H26" s="71">
        <f t="shared" si="6"/>
        <v>0</v>
      </c>
      <c r="I26" s="72">
        <f t="shared" si="7"/>
        <v>0</v>
      </c>
      <c r="J26" s="71">
        <v>0</v>
      </c>
      <c r="K26" s="39">
        <f t="shared" si="8"/>
        <v>0</v>
      </c>
      <c r="L26" s="39">
        <f t="shared" si="9"/>
        <v>0</v>
      </c>
      <c r="M26" s="39">
        <f t="shared" si="10"/>
        <v>0</v>
      </c>
      <c r="N26" s="72">
        <f t="shared" si="11"/>
        <v>0</v>
      </c>
      <c r="O26" s="72">
        <v>0</v>
      </c>
      <c r="P26" s="72">
        <f t="shared" si="12"/>
        <v>0</v>
      </c>
      <c r="Q26" s="74">
        <v>0</v>
      </c>
      <c r="R26" s="11">
        <f t="shared" ref="R26" si="20">I26-P26</f>
        <v>0</v>
      </c>
      <c r="S26" s="93">
        <f t="shared" ref="S26" si="21">+P26-G26</f>
        <v>0</v>
      </c>
      <c r="T26" s="94"/>
      <c r="U26" s="104"/>
      <c r="X26" s="189">
        <v>0</v>
      </c>
      <c r="Y26" s="189"/>
      <c r="Z26" s="159">
        <f t="shared" si="15"/>
        <v>0</v>
      </c>
      <c r="AB26" s="189"/>
      <c r="AC26" s="189"/>
      <c r="AD26" s="189"/>
      <c r="AE26" s="159">
        <f t="shared" si="16"/>
        <v>0</v>
      </c>
    </row>
    <row r="27" spans="1:31" x14ac:dyDescent="0.2">
      <c r="A27" s="5"/>
      <c r="B27" s="85">
        <v>2830</v>
      </c>
      <c r="C27" s="10" t="s">
        <v>79</v>
      </c>
      <c r="D27" s="134">
        <f t="shared" si="2"/>
        <v>79215</v>
      </c>
      <c r="E27" s="134">
        <f t="shared" si="3"/>
        <v>0</v>
      </c>
      <c r="F27" s="134">
        <f t="shared" si="4"/>
        <v>0</v>
      </c>
      <c r="G27" s="39">
        <f t="shared" si="5"/>
        <v>79215</v>
      </c>
      <c r="H27" s="71">
        <f t="shared" si="6"/>
        <v>241010</v>
      </c>
      <c r="I27" s="72">
        <f t="shared" si="7"/>
        <v>320225</v>
      </c>
      <c r="J27" s="71">
        <v>239169</v>
      </c>
      <c r="K27" s="39">
        <f t="shared" si="8"/>
        <v>81056</v>
      </c>
      <c r="L27" s="39">
        <f t="shared" si="9"/>
        <v>0</v>
      </c>
      <c r="M27" s="39">
        <f t="shared" si="10"/>
        <v>81056</v>
      </c>
      <c r="N27" s="72">
        <f t="shared" si="11"/>
        <v>320225</v>
      </c>
      <c r="O27" s="72">
        <v>0</v>
      </c>
      <c r="P27" s="72">
        <f t="shared" si="12"/>
        <v>320225</v>
      </c>
      <c r="Q27" s="74">
        <v>0</v>
      </c>
      <c r="R27" s="11">
        <f t="shared" si="17"/>
        <v>0</v>
      </c>
      <c r="S27" s="93">
        <f t="shared" si="13"/>
        <v>241010</v>
      </c>
      <c r="T27" s="94">
        <f t="shared" si="18"/>
        <v>3.0424793284100233</v>
      </c>
      <c r="U27" s="104">
        <f t="shared" si="14"/>
        <v>241010</v>
      </c>
      <c r="X27" s="189">
        <v>81056</v>
      </c>
      <c r="Y27" s="189"/>
      <c r="Z27" s="159">
        <f t="shared" si="15"/>
        <v>81056</v>
      </c>
      <c r="AB27" s="189">
        <v>79215</v>
      </c>
      <c r="AC27" s="189"/>
      <c r="AD27" s="189"/>
      <c r="AE27" s="159">
        <f t="shared" si="16"/>
        <v>79215</v>
      </c>
    </row>
    <row r="28" spans="1:31" hidden="1" x14ac:dyDescent="0.2">
      <c r="A28" s="5"/>
      <c r="B28" s="85">
        <v>2836</v>
      </c>
      <c r="C28" s="73" t="s">
        <v>161</v>
      </c>
      <c r="D28" s="134">
        <f t="shared" si="2"/>
        <v>0</v>
      </c>
      <c r="E28" s="134">
        <f t="shared" si="3"/>
        <v>0</v>
      </c>
      <c r="F28" s="134">
        <f t="shared" si="4"/>
        <v>0</v>
      </c>
      <c r="G28" s="39">
        <f t="shared" si="5"/>
        <v>0</v>
      </c>
      <c r="H28" s="71">
        <f t="shared" si="6"/>
        <v>0</v>
      </c>
      <c r="I28" s="72">
        <f t="shared" si="7"/>
        <v>0</v>
      </c>
      <c r="J28" s="71">
        <v>0</v>
      </c>
      <c r="K28" s="39">
        <f t="shared" si="8"/>
        <v>0</v>
      </c>
      <c r="L28" s="39">
        <f t="shared" si="9"/>
        <v>0</v>
      </c>
      <c r="M28" s="39">
        <f t="shared" si="10"/>
        <v>0</v>
      </c>
      <c r="N28" s="72">
        <f t="shared" si="11"/>
        <v>0</v>
      </c>
      <c r="O28" s="72">
        <v>0</v>
      </c>
      <c r="P28" s="72">
        <f t="shared" si="12"/>
        <v>0</v>
      </c>
      <c r="Q28" s="74">
        <v>0</v>
      </c>
      <c r="R28" s="11"/>
      <c r="S28" s="93">
        <f t="shared" si="13"/>
        <v>0</v>
      </c>
      <c r="T28" s="94" t="e">
        <f t="shared" si="18"/>
        <v>#DIV/0!</v>
      </c>
      <c r="U28" s="104">
        <f t="shared" si="14"/>
        <v>0</v>
      </c>
      <c r="X28" s="189"/>
      <c r="Y28" s="189"/>
      <c r="Z28" s="159">
        <f t="shared" si="15"/>
        <v>0</v>
      </c>
      <c r="AB28" s="189"/>
      <c r="AC28" s="189"/>
      <c r="AD28" s="189"/>
      <c r="AE28" s="159">
        <f t="shared" si="16"/>
        <v>0</v>
      </c>
    </row>
    <row r="29" spans="1:31" x14ac:dyDescent="0.2">
      <c r="A29" s="5"/>
      <c r="B29" s="85">
        <v>2840</v>
      </c>
      <c r="C29" s="10" t="s">
        <v>85</v>
      </c>
      <c r="D29" s="134">
        <f t="shared" si="2"/>
        <v>7500</v>
      </c>
      <c r="E29" s="134">
        <f t="shared" si="3"/>
        <v>0</v>
      </c>
      <c r="F29" s="134">
        <f t="shared" si="4"/>
        <v>0</v>
      </c>
      <c r="G29" s="39">
        <f t="shared" si="5"/>
        <v>7500</v>
      </c>
      <c r="H29" s="71">
        <f t="shared" si="6"/>
        <v>0</v>
      </c>
      <c r="I29" s="72">
        <f t="shared" si="7"/>
        <v>7500</v>
      </c>
      <c r="J29" s="71">
        <v>0</v>
      </c>
      <c r="K29" s="39">
        <f t="shared" si="8"/>
        <v>7500</v>
      </c>
      <c r="L29" s="39">
        <f t="shared" si="9"/>
        <v>0</v>
      </c>
      <c r="M29" s="39">
        <f t="shared" si="10"/>
        <v>7500</v>
      </c>
      <c r="N29" s="72">
        <f t="shared" si="11"/>
        <v>7500</v>
      </c>
      <c r="O29" s="72">
        <v>0</v>
      </c>
      <c r="P29" s="72">
        <f t="shared" si="12"/>
        <v>7500</v>
      </c>
      <c r="Q29" s="74">
        <v>0</v>
      </c>
      <c r="R29" s="11">
        <f t="shared" si="17"/>
        <v>0</v>
      </c>
      <c r="S29" s="93">
        <f t="shared" si="13"/>
        <v>0</v>
      </c>
      <c r="T29" s="94">
        <f t="shared" si="18"/>
        <v>0</v>
      </c>
      <c r="U29" s="104">
        <f t="shared" si="14"/>
        <v>0</v>
      </c>
      <c r="X29" s="189">
        <v>7500</v>
      </c>
      <c r="Y29" s="189"/>
      <c r="Z29" s="159">
        <f t="shared" si="15"/>
        <v>7500</v>
      </c>
      <c r="AB29" s="189">
        <v>7500</v>
      </c>
      <c r="AC29" s="189"/>
      <c r="AD29" s="189"/>
      <c r="AE29" s="159">
        <f t="shared" si="16"/>
        <v>7500</v>
      </c>
    </row>
    <row r="30" spans="1:31" hidden="1" x14ac:dyDescent="0.2">
      <c r="A30" s="5"/>
      <c r="B30" s="85">
        <v>2846</v>
      </c>
      <c r="C30" s="10" t="s">
        <v>86</v>
      </c>
      <c r="D30" s="134">
        <f t="shared" si="2"/>
        <v>0</v>
      </c>
      <c r="E30" s="134">
        <f t="shared" si="3"/>
        <v>0</v>
      </c>
      <c r="F30" s="134">
        <f t="shared" si="4"/>
        <v>0</v>
      </c>
      <c r="G30" s="39">
        <f t="shared" si="5"/>
        <v>0</v>
      </c>
      <c r="H30" s="71">
        <f t="shared" si="6"/>
        <v>0</v>
      </c>
      <c r="I30" s="72">
        <f t="shared" si="7"/>
        <v>0</v>
      </c>
      <c r="J30" s="71">
        <v>0</v>
      </c>
      <c r="K30" s="39">
        <f t="shared" si="8"/>
        <v>0</v>
      </c>
      <c r="L30" s="39">
        <f t="shared" si="9"/>
        <v>0</v>
      </c>
      <c r="M30" s="39">
        <f t="shared" si="10"/>
        <v>0</v>
      </c>
      <c r="N30" s="72">
        <f t="shared" si="11"/>
        <v>0</v>
      </c>
      <c r="O30" s="72">
        <v>0</v>
      </c>
      <c r="P30" s="72">
        <f t="shared" si="12"/>
        <v>0</v>
      </c>
      <c r="Q30" s="74">
        <v>0</v>
      </c>
      <c r="R30" s="11"/>
      <c r="S30" s="93">
        <f t="shared" si="13"/>
        <v>0</v>
      </c>
      <c r="T30" s="94" t="e">
        <f t="shared" si="18"/>
        <v>#DIV/0!</v>
      </c>
      <c r="U30" s="104">
        <f t="shared" si="14"/>
        <v>0</v>
      </c>
      <c r="X30" s="189"/>
      <c r="Y30" s="189"/>
      <c r="Z30" s="159">
        <f t="shared" si="15"/>
        <v>0</v>
      </c>
      <c r="AB30" s="189"/>
      <c r="AC30" s="189"/>
      <c r="AD30" s="189"/>
      <c r="AE30" s="159">
        <f t="shared" si="16"/>
        <v>0</v>
      </c>
    </row>
    <row r="31" spans="1:31" x14ac:dyDescent="0.2">
      <c r="A31" s="5"/>
      <c r="B31" s="85">
        <v>2850</v>
      </c>
      <c r="C31" s="73" t="s">
        <v>276</v>
      </c>
      <c r="D31" s="134">
        <f t="shared" si="2"/>
        <v>2840959</v>
      </c>
      <c r="E31" s="134">
        <f t="shared" si="3"/>
        <v>0</v>
      </c>
      <c r="F31" s="134">
        <f t="shared" si="4"/>
        <v>410950</v>
      </c>
      <c r="G31" s="39">
        <f t="shared" si="5"/>
        <v>3251909</v>
      </c>
      <c r="H31" s="71">
        <f t="shared" si="6"/>
        <v>4234527</v>
      </c>
      <c r="I31" s="72">
        <f t="shared" si="7"/>
        <v>7486436</v>
      </c>
      <c r="J31" s="71">
        <v>3793084</v>
      </c>
      <c r="K31" s="39">
        <f t="shared" si="8"/>
        <v>3642952</v>
      </c>
      <c r="L31" s="39">
        <f t="shared" si="9"/>
        <v>50400</v>
      </c>
      <c r="M31" s="39">
        <f t="shared" si="10"/>
        <v>3693352</v>
      </c>
      <c r="N31" s="72">
        <f t="shared" si="11"/>
        <v>7486436</v>
      </c>
      <c r="O31" s="72">
        <v>0</v>
      </c>
      <c r="P31" s="72">
        <f t="shared" si="12"/>
        <v>7486436</v>
      </c>
      <c r="Q31" s="74">
        <v>0</v>
      </c>
      <c r="R31" s="11"/>
      <c r="S31" s="93"/>
      <c r="T31" s="94"/>
      <c r="U31" s="104"/>
      <c r="X31" s="189">
        <v>3642952</v>
      </c>
      <c r="Y31" s="189">
        <v>50400</v>
      </c>
      <c r="Z31" s="159">
        <f t="shared" si="15"/>
        <v>3693352</v>
      </c>
      <c r="AB31" s="189">
        <v>2840959</v>
      </c>
      <c r="AC31" s="189"/>
      <c r="AD31" s="189">
        <v>410950</v>
      </c>
      <c r="AE31" s="159">
        <f t="shared" si="16"/>
        <v>3251909</v>
      </c>
    </row>
    <row r="32" spans="1:31" x14ac:dyDescent="0.2">
      <c r="A32" s="5"/>
      <c r="B32" s="85">
        <v>2855</v>
      </c>
      <c r="C32" s="73" t="s">
        <v>277</v>
      </c>
      <c r="D32" s="134">
        <f t="shared" si="2"/>
        <v>690125</v>
      </c>
      <c r="E32" s="134">
        <f t="shared" si="3"/>
        <v>0</v>
      </c>
      <c r="F32" s="134">
        <f t="shared" si="4"/>
        <v>0</v>
      </c>
      <c r="G32" s="39">
        <f t="shared" si="5"/>
        <v>690125</v>
      </c>
      <c r="H32" s="71">
        <f t="shared" si="6"/>
        <v>-44440</v>
      </c>
      <c r="I32" s="72">
        <f t="shared" si="7"/>
        <v>645685</v>
      </c>
      <c r="J32" s="71">
        <v>-34315</v>
      </c>
      <c r="K32" s="39">
        <f t="shared" si="8"/>
        <v>680000</v>
      </c>
      <c r="L32" s="39">
        <f t="shared" si="9"/>
        <v>0</v>
      </c>
      <c r="M32" s="39">
        <f t="shared" si="10"/>
        <v>680000</v>
      </c>
      <c r="N32" s="72">
        <f t="shared" si="11"/>
        <v>645685</v>
      </c>
      <c r="O32" s="72">
        <v>0</v>
      </c>
      <c r="P32" s="72">
        <f t="shared" si="12"/>
        <v>645685</v>
      </c>
      <c r="Q32" s="74">
        <v>0</v>
      </c>
      <c r="R32" s="11"/>
      <c r="S32" s="93"/>
      <c r="T32" s="94"/>
      <c r="U32" s="104"/>
      <c r="X32" s="189">
        <v>680000</v>
      </c>
      <c r="Y32" s="189"/>
      <c r="Z32" s="159">
        <f t="shared" si="15"/>
        <v>680000</v>
      </c>
      <c r="AB32" s="189">
        <v>690125</v>
      </c>
      <c r="AC32" s="189"/>
      <c r="AD32" s="189"/>
      <c r="AE32" s="159">
        <f t="shared" si="16"/>
        <v>690125</v>
      </c>
    </row>
    <row r="33" spans="1:31" x14ac:dyDescent="0.2">
      <c r="A33" s="5"/>
      <c r="B33" s="85">
        <v>2859</v>
      </c>
      <c r="C33" s="10" t="s">
        <v>87</v>
      </c>
      <c r="D33" s="134">
        <f t="shared" si="2"/>
        <v>31250</v>
      </c>
      <c r="E33" s="134">
        <f t="shared" si="3"/>
        <v>0</v>
      </c>
      <c r="F33" s="134">
        <f t="shared" si="4"/>
        <v>0</v>
      </c>
      <c r="G33" s="39">
        <f t="shared" si="5"/>
        <v>31250</v>
      </c>
      <c r="H33" s="71">
        <f t="shared" si="6"/>
        <v>234129</v>
      </c>
      <c r="I33" s="72">
        <f t="shared" si="7"/>
        <v>265379</v>
      </c>
      <c r="J33" s="71">
        <v>229729</v>
      </c>
      <c r="K33" s="39">
        <f t="shared" si="8"/>
        <v>35650</v>
      </c>
      <c r="L33" s="39">
        <f t="shared" si="9"/>
        <v>0</v>
      </c>
      <c r="M33" s="39">
        <f t="shared" si="10"/>
        <v>35650</v>
      </c>
      <c r="N33" s="72">
        <f t="shared" si="11"/>
        <v>265379</v>
      </c>
      <c r="O33" s="72">
        <v>0</v>
      </c>
      <c r="P33" s="72">
        <f t="shared" si="12"/>
        <v>265379</v>
      </c>
      <c r="Q33" s="74">
        <v>0</v>
      </c>
      <c r="R33" s="11">
        <f t="shared" si="17"/>
        <v>0</v>
      </c>
      <c r="S33" s="93">
        <f t="shared" si="13"/>
        <v>234129</v>
      </c>
      <c r="T33" s="94">
        <f t="shared" si="18"/>
        <v>7.4921280000000001</v>
      </c>
      <c r="U33" s="104">
        <f t="shared" si="14"/>
        <v>234129</v>
      </c>
      <c r="X33" s="189">
        <v>35650</v>
      </c>
      <c r="Y33" s="189"/>
      <c r="Z33" s="159">
        <f t="shared" si="15"/>
        <v>35650</v>
      </c>
      <c r="AB33" s="189">
        <v>31250</v>
      </c>
      <c r="AC33" s="189"/>
      <c r="AD33" s="189"/>
      <c r="AE33" s="159">
        <f t="shared" si="16"/>
        <v>31250</v>
      </c>
    </row>
    <row r="34" spans="1:31" x14ac:dyDescent="0.2">
      <c r="A34" s="5"/>
      <c r="B34" s="85">
        <v>2888</v>
      </c>
      <c r="C34" s="10" t="s">
        <v>99</v>
      </c>
      <c r="D34" s="134">
        <f t="shared" si="2"/>
        <v>468370</v>
      </c>
      <c r="E34" s="134">
        <f t="shared" si="3"/>
        <v>0</v>
      </c>
      <c r="F34" s="134">
        <f t="shared" si="4"/>
        <v>0</v>
      </c>
      <c r="G34" s="39">
        <f t="shared" si="5"/>
        <v>468370</v>
      </c>
      <c r="H34" s="71">
        <f t="shared" si="6"/>
        <v>29468</v>
      </c>
      <c r="I34" s="72">
        <f t="shared" si="7"/>
        <v>497838</v>
      </c>
      <c r="J34" s="71">
        <v>78644</v>
      </c>
      <c r="K34" s="39">
        <f t="shared" si="8"/>
        <v>419194</v>
      </c>
      <c r="L34" s="39">
        <f t="shared" si="9"/>
        <v>0</v>
      </c>
      <c r="M34" s="39">
        <f t="shared" si="10"/>
        <v>419194</v>
      </c>
      <c r="N34" s="72">
        <f t="shared" si="11"/>
        <v>497838</v>
      </c>
      <c r="O34" s="72">
        <v>0</v>
      </c>
      <c r="P34" s="72">
        <f t="shared" si="12"/>
        <v>497838</v>
      </c>
      <c r="Q34" s="74">
        <v>0</v>
      </c>
      <c r="R34" s="95">
        <f t="shared" si="17"/>
        <v>0</v>
      </c>
      <c r="S34" s="93">
        <f t="shared" si="13"/>
        <v>29468</v>
      </c>
      <c r="T34" s="94">
        <f t="shared" si="18"/>
        <v>6.2916070627922371E-2</v>
      </c>
      <c r="U34" s="104">
        <f t="shared" si="14"/>
        <v>29468</v>
      </c>
      <c r="X34" s="189">
        <v>419194</v>
      </c>
      <c r="Y34" s="189"/>
      <c r="Z34" s="159">
        <f t="shared" si="15"/>
        <v>419194</v>
      </c>
      <c r="AB34" s="189">
        <v>468370</v>
      </c>
      <c r="AC34" s="189"/>
      <c r="AD34" s="189"/>
      <c r="AE34" s="159">
        <f t="shared" si="16"/>
        <v>468370</v>
      </c>
    </row>
    <row r="35" spans="1:31" x14ac:dyDescent="0.2">
      <c r="A35" s="5"/>
      <c r="B35" s="85">
        <v>2889</v>
      </c>
      <c r="C35" s="73" t="s">
        <v>270</v>
      </c>
      <c r="D35" s="134">
        <f t="shared" si="2"/>
        <v>2142583</v>
      </c>
      <c r="E35" s="134">
        <f t="shared" si="3"/>
        <v>0</v>
      </c>
      <c r="F35" s="134">
        <f t="shared" si="4"/>
        <v>0</v>
      </c>
      <c r="G35" s="39">
        <f t="shared" si="5"/>
        <v>2142583</v>
      </c>
      <c r="H35" s="71">
        <f t="shared" si="6"/>
        <v>840475</v>
      </c>
      <c r="I35" s="72">
        <f t="shared" si="7"/>
        <v>2983058</v>
      </c>
      <c r="J35" s="71">
        <v>509138</v>
      </c>
      <c r="K35" s="39">
        <f t="shared" si="8"/>
        <v>2473920</v>
      </c>
      <c r="L35" s="39">
        <f t="shared" si="9"/>
        <v>0</v>
      </c>
      <c r="M35" s="39">
        <f t="shared" si="10"/>
        <v>2473920</v>
      </c>
      <c r="N35" s="72">
        <f t="shared" si="11"/>
        <v>2983058</v>
      </c>
      <c r="O35" s="72">
        <v>0</v>
      </c>
      <c r="P35" s="72">
        <f t="shared" si="12"/>
        <v>2983058</v>
      </c>
      <c r="Q35" s="74">
        <v>0</v>
      </c>
      <c r="R35" s="95"/>
      <c r="S35" s="93"/>
      <c r="T35" s="94"/>
      <c r="U35" s="104"/>
      <c r="X35" s="189">
        <v>2473920</v>
      </c>
      <c r="Y35" s="189"/>
      <c r="Z35" s="159">
        <f t="shared" si="15"/>
        <v>2473920</v>
      </c>
      <c r="AB35" s="189">
        <v>2142583</v>
      </c>
      <c r="AC35" s="189"/>
      <c r="AD35" s="189"/>
      <c r="AE35" s="159">
        <f t="shared" si="16"/>
        <v>2142583</v>
      </c>
    </row>
    <row r="36" spans="1:31" x14ac:dyDescent="0.2">
      <c r="A36" s="5"/>
      <c r="B36" s="85">
        <v>2890</v>
      </c>
      <c r="C36" s="73" t="s">
        <v>266</v>
      </c>
      <c r="D36" s="134">
        <f t="shared" si="2"/>
        <v>3125</v>
      </c>
      <c r="E36" s="134">
        <f t="shared" si="3"/>
        <v>0</v>
      </c>
      <c r="F36" s="134">
        <f t="shared" si="4"/>
        <v>0</v>
      </c>
      <c r="G36" s="39">
        <f t="shared" si="5"/>
        <v>3125</v>
      </c>
      <c r="H36" s="71">
        <f t="shared" si="6"/>
        <v>44270</v>
      </c>
      <c r="I36" s="72">
        <f t="shared" si="7"/>
        <v>47395</v>
      </c>
      <c r="J36" s="71">
        <v>32754</v>
      </c>
      <c r="K36" s="39">
        <f t="shared" si="8"/>
        <v>14641</v>
      </c>
      <c r="L36" s="39">
        <f t="shared" si="9"/>
        <v>0</v>
      </c>
      <c r="M36" s="39">
        <f t="shared" si="10"/>
        <v>14641</v>
      </c>
      <c r="N36" s="72">
        <f t="shared" si="11"/>
        <v>47395</v>
      </c>
      <c r="O36" s="72">
        <v>0</v>
      </c>
      <c r="P36" s="72">
        <f t="shared" si="12"/>
        <v>47395</v>
      </c>
      <c r="Q36" s="74">
        <v>0</v>
      </c>
      <c r="R36" s="95"/>
      <c r="S36" s="93"/>
      <c r="T36" s="94"/>
      <c r="U36" s="104"/>
      <c r="X36" s="189">
        <v>14641</v>
      </c>
      <c r="Y36" s="189"/>
      <c r="Z36" s="159">
        <f t="shared" si="15"/>
        <v>14641</v>
      </c>
      <c r="AB36" s="189">
        <v>3125</v>
      </c>
      <c r="AC36" s="189"/>
      <c r="AD36" s="189"/>
      <c r="AE36" s="159">
        <f t="shared" si="16"/>
        <v>3125</v>
      </c>
    </row>
    <row r="37" spans="1:31" x14ac:dyDescent="0.2">
      <c r="A37" s="5"/>
      <c r="B37" s="85">
        <v>2901</v>
      </c>
      <c r="C37" s="10" t="s">
        <v>80</v>
      </c>
      <c r="D37" s="134">
        <f t="shared" si="2"/>
        <v>0</v>
      </c>
      <c r="E37" s="134">
        <f t="shared" si="3"/>
        <v>0</v>
      </c>
      <c r="F37" s="134">
        <f t="shared" si="4"/>
        <v>1625000</v>
      </c>
      <c r="G37" s="39">
        <f t="shared" si="5"/>
        <v>1625000</v>
      </c>
      <c r="H37" s="71">
        <f t="shared" si="6"/>
        <v>3959165</v>
      </c>
      <c r="I37" s="72">
        <f t="shared" si="7"/>
        <v>5584165</v>
      </c>
      <c r="J37" s="71">
        <v>2984165</v>
      </c>
      <c r="K37" s="39">
        <f t="shared" si="8"/>
        <v>2600000</v>
      </c>
      <c r="L37" s="39">
        <f t="shared" si="9"/>
        <v>0</v>
      </c>
      <c r="M37" s="39">
        <f t="shared" si="10"/>
        <v>2600000</v>
      </c>
      <c r="N37" s="72">
        <f t="shared" si="11"/>
        <v>5584165</v>
      </c>
      <c r="O37" s="72">
        <v>0</v>
      </c>
      <c r="P37" s="72">
        <f t="shared" si="12"/>
        <v>5584165</v>
      </c>
      <c r="Q37" s="74">
        <v>0</v>
      </c>
      <c r="R37" s="11">
        <f t="shared" si="17"/>
        <v>0</v>
      </c>
      <c r="S37" s="93">
        <f t="shared" si="13"/>
        <v>3959165</v>
      </c>
      <c r="T37" s="94">
        <f t="shared" si="18"/>
        <v>2.4364092307692307</v>
      </c>
      <c r="U37" s="104">
        <f t="shared" si="14"/>
        <v>3959165</v>
      </c>
      <c r="X37" s="189">
        <v>2600000</v>
      </c>
      <c r="Y37" s="189"/>
      <c r="Z37" s="159">
        <f t="shared" si="15"/>
        <v>2600000</v>
      </c>
      <c r="AB37" s="189"/>
      <c r="AC37" s="189"/>
      <c r="AD37" s="189">
        <v>1625000</v>
      </c>
      <c r="AE37" s="159">
        <f t="shared" si="16"/>
        <v>1625000</v>
      </c>
    </row>
    <row r="38" spans="1:31" hidden="1" x14ac:dyDescent="0.2">
      <c r="A38" s="5"/>
      <c r="B38" s="85">
        <v>2902</v>
      </c>
      <c r="C38" s="10" t="s">
        <v>81</v>
      </c>
      <c r="D38" s="134">
        <f t="shared" si="2"/>
        <v>0</v>
      </c>
      <c r="E38" s="134">
        <f t="shared" si="3"/>
        <v>0</v>
      </c>
      <c r="F38" s="134">
        <f t="shared" si="4"/>
        <v>0</v>
      </c>
      <c r="G38" s="39">
        <f t="shared" si="5"/>
        <v>0</v>
      </c>
      <c r="H38" s="71">
        <f t="shared" si="6"/>
        <v>0</v>
      </c>
      <c r="I38" s="72">
        <f t="shared" si="7"/>
        <v>0</v>
      </c>
      <c r="J38" s="71">
        <v>0</v>
      </c>
      <c r="K38" s="39">
        <f t="shared" si="8"/>
        <v>0</v>
      </c>
      <c r="L38" s="39">
        <f t="shared" si="9"/>
        <v>0</v>
      </c>
      <c r="M38" s="39">
        <f t="shared" si="10"/>
        <v>0</v>
      </c>
      <c r="N38" s="72">
        <f t="shared" si="11"/>
        <v>0</v>
      </c>
      <c r="O38" s="72">
        <v>0</v>
      </c>
      <c r="P38" s="72">
        <f t="shared" si="12"/>
        <v>0</v>
      </c>
      <c r="Q38" s="74">
        <v>0</v>
      </c>
      <c r="R38" s="11">
        <f t="shared" si="17"/>
        <v>0</v>
      </c>
      <c r="S38" s="93">
        <f t="shared" si="13"/>
        <v>0</v>
      </c>
      <c r="T38" s="94" t="e">
        <f t="shared" ref="T38:T116" si="22">+S38/G38</f>
        <v>#DIV/0!</v>
      </c>
      <c r="U38" s="104">
        <f t="shared" si="14"/>
        <v>0</v>
      </c>
      <c r="X38" s="189"/>
      <c r="Y38" s="189"/>
      <c r="Z38" s="159">
        <f t="shared" si="15"/>
        <v>0</v>
      </c>
      <c r="AB38" s="189"/>
      <c r="AC38" s="189"/>
      <c r="AD38" s="189"/>
      <c r="AE38" s="159">
        <f t="shared" si="16"/>
        <v>0</v>
      </c>
    </row>
    <row r="39" spans="1:31" hidden="1" x14ac:dyDescent="0.2">
      <c r="A39" s="5"/>
      <c r="B39" s="85">
        <v>2912</v>
      </c>
      <c r="C39" s="10" t="s">
        <v>88</v>
      </c>
      <c r="D39" s="134">
        <f t="shared" si="2"/>
        <v>0</v>
      </c>
      <c r="E39" s="134">
        <f t="shared" si="3"/>
        <v>0</v>
      </c>
      <c r="F39" s="134">
        <f t="shared" si="4"/>
        <v>0</v>
      </c>
      <c r="G39" s="39">
        <f t="shared" si="5"/>
        <v>0</v>
      </c>
      <c r="H39" s="71">
        <f t="shared" si="6"/>
        <v>0</v>
      </c>
      <c r="I39" s="72">
        <f t="shared" si="7"/>
        <v>0</v>
      </c>
      <c r="J39" s="71">
        <v>0</v>
      </c>
      <c r="K39" s="39">
        <f t="shared" si="8"/>
        <v>0</v>
      </c>
      <c r="L39" s="39">
        <f t="shared" si="9"/>
        <v>0</v>
      </c>
      <c r="M39" s="39">
        <f t="shared" si="10"/>
        <v>0</v>
      </c>
      <c r="N39" s="72">
        <f t="shared" si="11"/>
        <v>0</v>
      </c>
      <c r="O39" s="72">
        <v>0</v>
      </c>
      <c r="P39" s="72">
        <f t="shared" si="12"/>
        <v>0</v>
      </c>
      <c r="Q39" s="74">
        <v>0</v>
      </c>
      <c r="R39" s="95">
        <f t="shared" si="17"/>
        <v>0</v>
      </c>
      <c r="S39" s="93">
        <f t="shared" si="13"/>
        <v>0</v>
      </c>
      <c r="T39" s="94" t="e">
        <f t="shared" si="22"/>
        <v>#DIV/0!</v>
      </c>
      <c r="U39" s="104">
        <f t="shared" si="14"/>
        <v>0</v>
      </c>
      <c r="X39" s="189"/>
      <c r="Y39" s="189"/>
      <c r="Z39" s="159">
        <f t="shared" si="15"/>
        <v>0</v>
      </c>
      <c r="AB39" s="189"/>
      <c r="AC39" s="189"/>
      <c r="AD39" s="189"/>
      <c r="AE39" s="159">
        <f t="shared" si="16"/>
        <v>0</v>
      </c>
    </row>
    <row r="40" spans="1:31" x14ac:dyDescent="0.2">
      <c r="A40" s="5"/>
      <c r="B40" s="85">
        <v>2916</v>
      </c>
      <c r="C40" s="10" t="s">
        <v>89</v>
      </c>
      <c r="D40" s="134">
        <f t="shared" si="2"/>
        <v>850355</v>
      </c>
      <c r="E40" s="134">
        <f t="shared" si="3"/>
        <v>0</v>
      </c>
      <c r="F40" s="134">
        <f t="shared" si="4"/>
        <v>0</v>
      </c>
      <c r="G40" s="39">
        <f t="shared" si="5"/>
        <v>850355</v>
      </c>
      <c r="H40" s="71">
        <f t="shared" si="6"/>
        <v>13466</v>
      </c>
      <c r="I40" s="72">
        <f t="shared" si="7"/>
        <v>863821</v>
      </c>
      <c r="J40" s="71">
        <v>2585</v>
      </c>
      <c r="K40" s="39">
        <f t="shared" si="8"/>
        <v>498981</v>
      </c>
      <c r="L40" s="39">
        <f t="shared" si="9"/>
        <v>362255</v>
      </c>
      <c r="M40" s="39">
        <f t="shared" si="10"/>
        <v>861236</v>
      </c>
      <c r="N40" s="72">
        <f t="shared" si="11"/>
        <v>863821</v>
      </c>
      <c r="O40" s="72">
        <v>0</v>
      </c>
      <c r="P40" s="72">
        <f t="shared" si="12"/>
        <v>863821</v>
      </c>
      <c r="Q40" s="74">
        <v>0</v>
      </c>
      <c r="R40" s="95"/>
      <c r="S40" s="93">
        <f t="shared" si="13"/>
        <v>13466</v>
      </c>
      <c r="T40" s="94">
        <f t="shared" si="22"/>
        <v>1.5835739191278935E-2</v>
      </c>
      <c r="U40" s="104">
        <f t="shared" si="14"/>
        <v>13466</v>
      </c>
      <c r="X40" s="189">
        <v>498981</v>
      </c>
      <c r="Y40" s="189">
        <v>362255</v>
      </c>
      <c r="Z40" s="159">
        <f t="shared" si="15"/>
        <v>861236</v>
      </c>
      <c r="AB40" s="189">
        <v>850355</v>
      </c>
      <c r="AC40" s="189"/>
      <c r="AD40" s="189"/>
      <c r="AE40" s="159">
        <f t="shared" si="16"/>
        <v>850355</v>
      </c>
    </row>
    <row r="41" spans="1:31" hidden="1" x14ac:dyDescent="0.2">
      <c r="A41" s="5"/>
      <c r="B41" s="85">
        <v>2917</v>
      </c>
      <c r="C41" s="73" t="s">
        <v>203</v>
      </c>
      <c r="D41" s="134">
        <f t="shared" si="2"/>
        <v>0</v>
      </c>
      <c r="E41" s="134">
        <f t="shared" si="3"/>
        <v>0</v>
      </c>
      <c r="F41" s="134">
        <f t="shared" si="4"/>
        <v>0</v>
      </c>
      <c r="G41" s="39">
        <f t="shared" si="5"/>
        <v>0</v>
      </c>
      <c r="H41" s="71">
        <f t="shared" si="6"/>
        <v>0</v>
      </c>
      <c r="I41" s="72">
        <f t="shared" si="7"/>
        <v>0</v>
      </c>
      <c r="J41" s="71">
        <v>0</v>
      </c>
      <c r="K41" s="39">
        <f t="shared" si="8"/>
        <v>0</v>
      </c>
      <c r="L41" s="39">
        <f t="shared" si="9"/>
        <v>0</v>
      </c>
      <c r="M41" s="39">
        <f t="shared" si="10"/>
        <v>0</v>
      </c>
      <c r="N41" s="72">
        <f t="shared" si="11"/>
        <v>0</v>
      </c>
      <c r="O41" s="72">
        <v>0</v>
      </c>
      <c r="P41" s="72">
        <f t="shared" si="12"/>
        <v>0</v>
      </c>
      <c r="Q41" s="74">
        <v>0</v>
      </c>
      <c r="R41" s="95"/>
      <c r="S41" s="93">
        <f t="shared" si="13"/>
        <v>0</v>
      </c>
      <c r="T41" s="94"/>
      <c r="U41" s="104"/>
      <c r="X41" s="189"/>
      <c r="Y41" s="189"/>
      <c r="Z41" s="159">
        <f t="shared" si="15"/>
        <v>0</v>
      </c>
      <c r="AB41" s="189"/>
      <c r="AC41" s="189"/>
      <c r="AD41" s="189"/>
      <c r="AE41" s="159">
        <f t="shared" si="16"/>
        <v>0</v>
      </c>
    </row>
    <row r="42" spans="1:31" hidden="1" x14ac:dyDescent="0.2">
      <c r="A42" s="5"/>
      <c r="B42" s="85">
        <v>2919</v>
      </c>
      <c r="C42" s="73" t="s">
        <v>162</v>
      </c>
      <c r="D42" s="134">
        <f t="shared" si="2"/>
        <v>0</v>
      </c>
      <c r="E42" s="134">
        <f t="shared" si="3"/>
        <v>0</v>
      </c>
      <c r="F42" s="134">
        <f t="shared" si="4"/>
        <v>0</v>
      </c>
      <c r="G42" s="39">
        <f t="shared" si="5"/>
        <v>0</v>
      </c>
      <c r="H42" s="71">
        <f t="shared" si="6"/>
        <v>0</v>
      </c>
      <c r="I42" s="72">
        <f t="shared" si="7"/>
        <v>0</v>
      </c>
      <c r="J42" s="71">
        <v>0</v>
      </c>
      <c r="K42" s="39">
        <f t="shared" si="8"/>
        <v>0</v>
      </c>
      <c r="L42" s="39">
        <f t="shared" si="9"/>
        <v>0</v>
      </c>
      <c r="M42" s="39">
        <f t="shared" si="10"/>
        <v>0</v>
      </c>
      <c r="N42" s="72">
        <f t="shared" si="11"/>
        <v>0</v>
      </c>
      <c r="O42" s="72">
        <v>0</v>
      </c>
      <c r="P42" s="72">
        <f t="shared" si="12"/>
        <v>0</v>
      </c>
      <c r="Q42" s="74">
        <v>0</v>
      </c>
      <c r="R42" s="95"/>
      <c r="S42" s="93">
        <f t="shared" si="13"/>
        <v>0</v>
      </c>
      <c r="T42" s="94" t="e">
        <f t="shared" si="22"/>
        <v>#DIV/0!</v>
      </c>
      <c r="U42" s="104">
        <f t="shared" si="14"/>
        <v>0</v>
      </c>
      <c r="X42" s="189"/>
      <c r="Y42" s="189"/>
      <c r="Z42" s="159">
        <f t="shared" si="15"/>
        <v>0</v>
      </c>
      <c r="AB42" s="189"/>
      <c r="AC42" s="189"/>
      <c r="AD42" s="189"/>
      <c r="AE42" s="159">
        <f t="shared" si="16"/>
        <v>0</v>
      </c>
    </row>
    <row r="43" spans="1:31" x14ac:dyDescent="0.2">
      <c r="A43" s="5"/>
      <c r="B43" s="85">
        <v>2920</v>
      </c>
      <c r="C43" s="73" t="s">
        <v>178</v>
      </c>
      <c r="D43" s="134">
        <f t="shared" si="2"/>
        <v>1000</v>
      </c>
      <c r="E43" s="134">
        <f t="shared" si="3"/>
        <v>0</v>
      </c>
      <c r="F43" s="134">
        <f t="shared" si="4"/>
        <v>0</v>
      </c>
      <c r="G43" s="39">
        <f t="shared" si="5"/>
        <v>1000</v>
      </c>
      <c r="H43" s="71">
        <f t="shared" si="6"/>
        <v>1716</v>
      </c>
      <c r="I43" s="72">
        <f t="shared" si="7"/>
        <v>2716</v>
      </c>
      <c r="J43" s="71">
        <v>2716</v>
      </c>
      <c r="K43" s="39">
        <f t="shared" si="8"/>
        <v>0</v>
      </c>
      <c r="L43" s="39">
        <f t="shared" si="9"/>
        <v>0</v>
      </c>
      <c r="M43" s="39">
        <f t="shared" si="10"/>
        <v>0</v>
      </c>
      <c r="N43" s="72">
        <f t="shared" si="11"/>
        <v>2716</v>
      </c>
      <c r="O43" s="72">
        <v>0</v>
      </c>
      <c r="P43" s="72">
        <f t="shared" si="12"/>
        <v>2716</v>
      </c>
      <c r="Q43" s="74">
        <v>0</v>
      </c>
      <c r="R43" s="95"/>
      <c r="S43" s="93">
        <f t="shared" si="13"/>
        <v>1716</v>
      </c>
      <c r="T43" s="94">
        <f t="shared" si="22"/>
        <v>1.716</v>
      </c>
      <c r="U43" s="104">
        <f t="shared" si="14"/>
        <v>1716</v>
      </c>
      <c r="X43" s="189"/>
      <c r="Y43" s="189"/>
      <c r="Z43" s="159">
        <f t="shared" si="15"/>
        <v>0</v>
      </c>
      <c r="AB43" s="189">
        <v>1000</v>
      </c>
      <c r="AC43" s="189"/>
      <c r="AD43" s="189"/>
      <c r="AE43" s="159">
        <f t="shared" si="16"/>
        <v>1000</v>
      </c>
    </row>
    <row r="44" spans="1:31" hidden="1" x14ac:dyDescent="0.2">
      <c r="A44" s="5"/>
      <c r="B44" s="85">
        <v>2921</v>
      </c>
      <c r="C44" s="73" t="s">
        <v>188</v>
      </c>
      <c r="D44" s="134">
        <f t="shared" si="2"/>
        <v>0</v>
      </c>
      <c r="E44" s="134">
        <f t="shared" si="3"/>
        <v>0</v>
      </c>
      <c r="F44" s="134">
        <f t="shared" si="4"/>
        <v>0</v>
      </c>
      <c r="G44" s="39">
        <f t="shared" si="5"/>
        <v>0</v>
      </c>
      <c r="H44" s="71">
        <f t="shared" si="6"/>
        <v>0</v>
      </c>
      <c r="I44" s="72">
        <f t="shared" si="7"/>
        <v>0</v>
      </c>
      <c r="J44" s="71">
        <v>0</v>
      </c>
      <c r="K44" s="39">
        <f t="shared" si="8"/>
        <v>0</v>
      </c>
      <c r="L44" s="39">
        <f t="shared" si="9"/>
        <v>0</v>
      </c>
      <c r="M44" s="39">
        <f t="shared" si="10"/>
        <v>0</v>
      </c>
      <c r="N44" s="72">
        <f t="shared" si="11"/>
        <v>0</v>
      </c>
      <c r="O44" s="72">
        <v>0</v>
      </c>
      <c r="P44" s="72">
        <f t="shared" si="12"/>
        <v>0</v>
      </c>
      <c r="Q44" s="74">
        <v>0</v>
      </c>
      <c r="R44" s="95"/>
      <c r="S44" s="93">
        <f t="shared" si="13"/>
        <v>0</v>
      </c>
      <c r="T44" s="94" t="e">
        <f t="shared" si="22"/>
        <v>#DIV/0!</v>
      </c>
      <c r="U44" s="104">
        <f t="shared" si="14"/>
        <v>0</v>
      </c>
      <c r="X44" s="189"/>
      <c r="Y44" s="189"/>
      <c r="Z44" s="159">
        <f t="shared" si="15"/>
        <v>0</v>
      </c>
      <c r="AB44" s="189"/>
      <c r="AC44" s="189"/>
      <c r="AD44" s="189"/>
      <c r="AE44" s="159">
        <f t="shared" si="16"/>
        <v>0</v>
      </c>
    </row>
    <row r="45" spans="1:31" x14ac:dyDescent="0.2">
      <c r="A45" s="5"/>
      <c r="B45" s="85">
        <v>2922</v>
      </c>
      <c r="C45" s="10" t="s">
        <v>90</v>
      </c>
      <c r="D45" s="134">
        <f t="shared" si="2"/>
        <v>228150</v>
      </c>
      <c r="E45" s="134">
        <f t="shared" si="3"/>
        <v>0</v>
      </c>
      <c r="F45" s="134">
        <f t="shared" si="4"/>
        <v>0</v>
      </c>
      <c r="G45" s="39">
        <f t="shared" si="5"/>
        <v>228150</v>
      </c>
      <c r="H45" s="71">
        <f t="shared" si="6"/>
        <v>32</v>
      </c>
      <c r="I45" s="72">
        <f t="shared" si="7"/>
        <v>228182</v>
      </c>
      <c r="J45" s="71">
        <v>32</v>
      </c>
      <c r="K45" s="39">
        <f t="shared" si="8"/>
        <v>228150</v>
      </c>
      <c r="L45" s="39">
        <f t="shared" si="9"/>
        <v>0</v>
      </c>
      <c r="M45" s="39">
        <f t="shared" si="10"/>
        <v>228150</v>
      </c>
      <c r="N45" s="72">
        <f t="shared" si="11"/>
        <v>228182</v>
      </c>
      <c r="O45" s="72">
        <v>0</v>
      </c>
      <c r="P45" s="72">
        <f t="shared" si="12"/>
        <v>228182</v>
      </c>
      <c r="Q45" s="74">
        <v>0</v>
      </c>
      <c r="R45" s="95">
        <f t="shared" si="17"/>
        <v>0</v>
      </c>
      <c r="S45" s="93">
        <f t="shared" si="13"/>
        <v>32</v>
      </c>
      <c r="T45" s="94">
        <f t="shared" si="22"/>
        <v>1.4025860179706334E-4</v>
      </c>
      <c r="U45" s="104">
        <f t="shared" si="14"/>
        <v>32</v>
      </c>
      <c r="X45" s="189">
        <v>228150</v>
      </c>
      <c r="Y45" s="189"/>
      <c r="Z45" s="159">
        <f t="shared" si="15"/>
        <v>228150</v>
      </c>
      <c r="AB45" s="189">
        <v>228150</v>
      </c>
      <c r="AC45" s="189"/>
      <c r="AD45" s="189"/>
      <c r="AE45" s="159">
        <f t="shared" si="16"/>
        <v>228150</v>
      </c>
    </row>
    <row r="46" spans="1:31" x14ac:dyDescent="0.2">
      <c r="A46" s="5"/>
      <c r="B46" s="85">
        <v>2923</v>
      </c>
      <c r="C46" s="73" t="s">
        <v>179</v>
      </c>
      <c r="D46" s="134">
        <f t="shared" si="2"/>
        <v>73700</v>
      </c>
      <c r="E46" s="134">
        <f t="shared" si="3"/>
        <v>0</v>
      </c>
      <c r="F46" s="134">
        <f t="shared" si="4"/>
        <v>0</v>
      </c>
      <c r="G46" s="39">
        <f t="shared" si="5"/>
        <v>73700</v>
      </c>
      <c r="H46" s="71">
        <f t="shared" si="6"/>
        <v>194945</v>
      </c>
      <c r="I46" s="72">
        <f t="shared" si="7"/>
        <v>268645</v>
      </c>
      <c r="J46" s="71">
        <v>248245</v>
      </c>
      <c r="K46" s="39">
        <f t="shared" si="8"/>
        <v>20400</v>
      </c>
      <c r="L46" s="39">
        <f t="shared" si="9"/>
        <v>0</v>
      </c>
      <c r="M46" s="39">
        <f t="shared" si="10"/>
        <v>20400</v>
      </c>
      <c r="N46" s="72">
        <f t="shared" si="11"/>
        <v>268645</v>
      </c>
      <c r="O46" s="72">
        <v>0</v>
      </c>
      <c r="P46" s="72">
        <f t="shared" si="12"/>
        <v>268645</v>
      </c>
      <c r="Q46" s="74">
        <v>0</v>
      </c>
      <c r="R46" s="95"/>
      <c r="S46" s="93">
        <f t="shared" si="13"/>
        <v>194945</v>
      </c>
      <c r="T46" s="94">
        <f t="shared" si="22"/>
        <v>2.6451153324287651</v>
      </c>
      <c r="U46" s="104">
        <f t="shared" si="14"/>
        <v>194945</v>
      </c>
      <c r="X46" s="189">
        <v>20400</v>
      </c>
      <c r="Y46" s="189"/>
      <c r="Z46" s="159">
        <f t="shared" si="15"/>
        <v>20400</v>
      </c>
      <c r="AB46" s="189">
        <v>73700</v>
      </c>
      <c r="AC46" s="189"/>
      <c r="AD46" s="189"/>
      <c r="AE46" s="159">
        <f t="shared" si="16"/>
        <v>73700</v>
      </c>
    </row>
    <row r="47" spans="1:31" x14ac:dyDescent="0.2">
      <c r="A47" s="5"/>
      <c r="B47" s="85">
        <v>2924</v>
      </c>
      <c r="C47" s="73" t="s">
        <v>180</v>
      </c>
      <c r="D47" s="134">
        <f t="shared" si="2"/>
        <v>15000</v>
      </c>
      <c r="E47" s="134">
        <f t="shared" si="3"/>
        <v>60000</v>
      </c>
      <c r="F47" s="134">
        <f t="shared" si="4"/>
        <v>0</v>
      </c>
      <c r="G47" s="39">
        <f t="shared" si="5"/>
        <v>75000</v>
      </c>
      <c r="H47" s="71">
        <f t="shared" si="6"/>
        <v>28239</v>
      </c>
      <c r="I47" s="72">
        <f t="shared" si="7"/>
        <v>103239</v>
      </c>
      <c r="J47" s="71">
        <v>75039</v>
      </c>
      <c r="K47" s="39">
        <f t="shared" si="8"/>
        <v>28200</v>
      </c>
      <c r="L47" s="39">
        <f t="shared" si="9"/>
        <v>0</v>
      </c>
      <c r="M47" s="39">
        <f t="shared" si="10"/>
        <v>28200</v>
      </c>
      <c r="N47" s="72">
        <f t="shared" si="11"/>
        <v>103239</v>
      </c>
      <c r="O47" s="72">
        <v>0</v>
      </c>
      <c r="P47" s="72">
        <f t="shared" si="12"/>
        <v>103239</v>
      </c>
      <c r="Q47" s="74">
        <v>0</v>
      </c>
      <c r="R47" s="95"/>
      <c r="S47" s="93">
        <f t="shared" si="13"/>
        <v>28239</v>
      </c>
      <c r="T47" s="94">
        <f t="shared" si="22"/>
        <v>0.37652000000000002</v>
      </c>
      <c r="U47" s="104">
        <f t="shared" si="14"/>
        <v>28239</v>
      </c>
      <c r="X47" s="189">
        <v>28200</v>
      </c>
      <c r="Y47" s="189"/>
      <c r="Z47" s="159">
        <f t="shared" si="15"/>
        <v>28200</v>
      </c>
      <c r="AB47" s="189">
        <v>15000</v>
      </c>
      <c r="AC47" s="189">
        <v>60000</v>
      </c>
      <c r="AD47" s="189"/>
      <c r="AE47" s="159">
        <f t="shared" si="16"/>
        <v>75000</v>
      </c>
    </row>
    <row r="48" spans="1:31" hidden="1" x14ac:dyDescent="0.2">
      <c r="A48" s="5"/>
      <c r="B48" s="85">
        <v>2925</v>
      </c>
      <c r="C48" s="73" t="s">
        <v>181</v>
      </c>
      <c r="D48" s="134">
        <f t="shared" si="2"/>
        <v>0</v>
      </c>
      <c r="E48" s="134">
        <f t="shared" si="3"/>
        <v>0</v>
      </c>
      <c r="F48" s="134">
        <f t="shared" si="4"/>
        <v>0</v>
      </c>
      <c r="G48" s="39">
        <f t="shared" si="5"/>
        <v>0</v>
      </c>
      <c r="H48" s="71">
        <f t="shared" si="6"/>
        <v>0</v>
      </c>
      <c r="I48" s="72">
        <f t="shared" si="7"/>
        <v>0</v>
      </c>
      <c r="J48" s="71">
        <v>0</v>
      </c>
      <c r="K48" s="39">
        <f t="shared" si="8"/>
        <v>0</v>
      </c>
      <c r="L48" s="39">
        <f t="shared" si="9"/>
        <v>0</v>
      </c>
      <c r="M48" s="39">
        <f t="shared" si="10"/>
        <v>0</v>
      </c>
      <c r="N48" s="72">
        <f t="shared" si="11"/>
        <v>0</v>
      </c>
      <c r="O48" s="72">
        <v>0</v>
      </c>
      <c r="P48" s="72">
        <f t="shared" si="12"/>
        <v>0</v>
      </c>
      <c r="Q48" s="74">
        <v>0</v>
      </c>
      <c r="R48" s="95"/>
      <c r="S48" s="93">
        <f t="shared" si="13"/>
        <v>0</v>
      </c>
      <c r="T48" s="94" t="e">
        <f t="shared" si="22"/>
        <v>#DIV/0!</v>
      </c>
      <c r="U48" s="104">
        <f t="shared" si="14"/>
        <v>0</v>
      </c>
      <c r="X48" s="189"/>
      <c r="Y48" s="189"/>
      <c r="Z48" s="159">
        <f t="shared" si="15"/>
        <v>0</v>
      </c>
      <c r="AB48" s="189"/>
      <c r="AC48" s="189"/>
      <c r="AD48" s="189"/>
      <c r="AE48" s="159">
        <f t="shared" si="16"/>
        <v>0</v>
      </c>
    </row>
    <row r="49" spans="1:31" x14ac:dyDescent="0.2">
      <c r="A49" s="5"/>
      <c r="B49" s="85">
        <v>2928</v>
      </c>
      <c r="C49" s="73" t="s">
        <v>163</v>
      </c>
      <c r="D49" s="134">
        <f t="shared" si="2"/>
        <v>186591</v>
      </c>
      <c r="E49" s="134">
        <f t="shared" si="3"/>
        <v>0</v>
      </c>
      <c r="F49" s="134">
        <f t="shared" si="4"/>
        <v>0</v>
      </c>
      <c r="G49" s="39">
        <f t="shared" si="5"/>
        <v>186591</v>
      </c>
      <c r="H49" s="71">
        <f t="shared" si="6"/>
        <v>1035</v>
      </c>
      <c r="I49" s="72">
        <f t="shared" si="7"/>
        <v>187626</v>
      </c>
      <c r="J49" s="71">
        <v>84</v>
      </c>
      <c r="K49" s="39">
        <f t="shared" si="8"/>
        <v>187542</v>
      </c>
      <c r="L49" s="39">
        <f t="shared" si="9"/>
        <v>0</v>
      </c>
      <c r="M49" s="39">
        <f t="shared" si="10"/>
        <v>187542</v>
      </c>
      <c r="N49" s="72">
        <f t="shared" si="11"/>
        <v>187626</v>
      </c>
      <c r="O49" s="72">
        <v>0</v>
      </c>
      <c r="P49" s="72">
        <f t="shared" si="12"/>
        <v>187626</v>
      </c>
      <c r="Q49" s="74">
        <v>0</v>
      </c>
      <c r="R49" s="95"/>
      <c r="S49" s="93">
        <f t="shared" si="13"/>
        <v>1035</v>
      </c>
      <c r="T49" s="94">
        <f t="shared" si="22"/>
        <v>5.5468913291637856E-3</v>
      </c>
      <c r="U49" s="104">
        <f t="shared" si="14"/>
        <v>1035</v>
      </c>
      <c r="X49" s="189">
        <v>187542</v>
      </c>
      <c r="Y49" s="189"/>
      <c r="Z49" s="159">
        <f t="shared" si="15"/>
        <v>187542</v>
      </c>
      <c r="AB49" s="189">
        <v>186591</v>
      </c>
      <c r="AC49" s="189"/>
      <c r="AD49" s="189"/>
      <c r="AE49" s="159">
        <f t="shared" si="16"/>
        <v>186591</v>
      </c>
    </row>
    <row r="50" spans="1:31" x14ac:dyDescent="0.2">
      <c r="A50" s="5"/>
      <c r="B50" s="85">
        <v>2930</v>
      </c>
      <c r="C50" s="73" t="s">
        <v>94</v>
      </c>
      <c r="D50" s="134">
        <f t="shared" si="2"/>
        <v>45250</v>
      </c>
      <c r="E50" s="134">
        <f t="shared" si="3"/>
        <v>0</v>
      </c>
      <c r="F50" s="134">
        <f t="shared" si="4"/>
        <v>0</v>
      </c>
      <c r="G50" s="39">
        <f t="shared" si="5"/>
        <v>45250</v>
      </c>
      <c r="H50" s="71">
        <f t="shared" si="6"/>
        <v>42807</v>
      </c>
      <c r="I50" s="72">
        <f t="shared" si="7"/>
        <v>88057</v>
      </c>
      <c r="J50" s="71">
        <v>36557</v>
      </c>
      <c r="K50" s="39">
        <f t="shared" si="8"/>
        <v>1500</v>
      </c>
      <c r="L50" s="39">
        <f t="shared" si="9"/>
        <v>50000</v>
      </c>
      <c r="M50" s="39">
        <f t="shared" si="10"/>
        <v>51500</v>
      </c>
      <c r="N50" s="72">
        <f t="shared" si="11"/>
        <v>88057</v>
      </c>
      <c r="O50" s="72">
        <v>0</v>
      </c>
      <c r="P50" s="72">
        <f t="shared" si="12"/>
        <v>88057</v>
      </c>
      <c r="Q50" s="74">
        <v>0</v>
      </c>
      <c r="R50" s="95"/>
      <c r="S50" s="93">
        <f t="shared" si="13"/>
        <v>42807</v>
      </c>
      <c r="T50" s="94">
        <f t="shared" si="22"/>
        <v>0.94601104972375694</v>
      </c>
      <c r="U50" s="104">
        <f t="shared" si="14"/>
        <v>42807</v>
      </c>
      <c r="X50" s="189">
        <v>1500</v>
      </c>
      <c r="Y50" s="189">
        <v>50000</v>
      </c>
      <c r="Z50" s="159">
        <f t="shared" si="15"/>
        <v>51500</v>
      </c>
      <c r="AB50" s="189">
        <v>45250</v>
      </c>
      <c r="AC50" s="189"/>
      <c r="AD50" s="189"/>
      <c r="AE50" s="159">
        <f t="shared" si="16"/>
        <v>45250</v>
      </c>
    </row>
    <row r="51" spans="1:31" x14ac:dyDescent="0.2">
      <c r="A51" s="5"/>
      <c r="B51" s="85">
        <v>2931</v>
      </c>
      <c r="C51" s="73" t="s">
        <v>197</v>
      </c>
      <c r="D51" s="134">
        <f t="shared" si="2"/>
        <v>19995</v>
      </c>
      <c r="E51" s="134">
        <f t="shared" si="3"/>
        <v>0</v>
      </c>
      <c r="F51" s="134">
        <f t="shared" si="4"/>
        <v>0</v>
      </c>
      <c r="G51" s="39">
        <f t="shared" si="5"/>
        <v>19995</v>
      </c>
      <c r="H51" s="71">
        <f t="shared" si="6"/>
        <v>84497</v>
      </c>
      <c r="I51" s="72">
        <f t="shared" si="7"/>
        <v>104492</v>
      </c>
      <c r="J51" s="71">
        <v>86742</v>
      </c>
      <c r="K51" s="39">
        <f t="shared" si="8"/>
        <v>17750</v>
      </c>
      <c r="L51" s="39">
        <f t="shared" si="9"/>
        <v>0</v>
      </c>
      <c r="M51" s="39">
        <f t="shared" si="10"/>
        <v>17750</v>
      </c>
      <c r="N51" s="72">
        <f t="shared" si="11"/>
        <v>104492</v>
      </c>
      <c r="O51" s="72">
        <v>0</v>
      </c>
      <c r="P51" s="72">
        <f t="shared" si="12"/>
        <v>104492</v>
      </c>
      <c r="Q51" s="74">
        <v>0</v>
      </c>
      <c r="R51" s="95"/>
      <c r="S51" s="93">
        <f t="shared" si="13"/>
        <v>84497</v>
      </c>
      <c r="T51" s="94"/>
      <c r="U51" s="104"/>
      <c r="X51" s="189">
        <v>17750</v>
      </c>
      <c r="Y51" s="189"/>
      <c r="Z51" s="159">
        <f t="shared" si="15"/>
        <v>17750</v>
      </c>
      <c r="AB51" s="189">
        <v>19995</v>
      </c>
      <c r="AC51" s="189"/>
      <c r="AD51" s="189"/>
      <c r="AE51" s="159">
        <f t="shared" si="16"/>
        <v>19995</v>
      </c>
    </row>
    <row r="52" spans="1:31" x14ac:dyDescent="0.2">
      <c r="A52" s="5"/>
      <c r="B52" s="85">
        <v>2932</v>
      </c>
      <c r="C52" s="10" t="s">
        <v>91</v>
      </c>
      <c r="D52" s="134">
        <f t="shared" si="2"/>
        <v>8700</v>
      </c>
      <c r="E52" s="134">
        <f t="shared" si="3"/>
        <v>0</v>
      </c>
      <c r="F52" s="134">
        <f t="shared" si="4"/>
        <v>0</v>
      </c>
      <c r="G52" s="39">
        <f t="shared" si="5"/>
        <v>8700</v>
      </c>
      <c r="H52" s="71">
        <f t="shared" si="6"/>
        <v>44352</v>
      </c>
      <c r="I52" s="72">
        <f t="shared" si="7"/>
        <v>53052</v>
      </c>
      <c r="J52" s="71">
        <v>42452</v>
      </c>
      <c r="K52" s="39">
        <f t="shared" si="8"/>
        <v>10600</v>
      </c>
      <c r="L52" s="39">
        <f t="shared" si="9"/>
        <v>0</v>
      </c>
      <c r="M52" s="39">
        <f t="shared" si="10"/>
        <v>10600</v>
      </c>
      <c r="N52" s="72">
        <f t="shared" si="11"/>
        <v>53052</v>
      </c>
      <c r="O52" s="72">
        <v>0</v>
      </c>
      <c r="P52" s="72">
        <f t="shared" si="12"/>
        <v>53052</v>
      </c>
      <c r="Q52" s="74">
        <v>0</v>
      </c>
      <c r="R52" s="95">
        <f t="shared" si="17"/>
        <v>0</v>
      </c>
      <c r="S52" s="93">
        <f t="shared" si="13"/>
        <v>44352</v>
      </c>
      <c r="T52" s="94">
        <f t="shared" si="22"/>
        <v>5.0979310344827589</v>
      </c>
      <c r="U52" s="104">
        <f t="shared" si="14"/>
        <v>44352</v>
      </c>
      <c r="X52" s="189">
        <v>10600</v>
      </c>
      <c r="Y52" s="189"/>
      <c r="Z52" s="159">
        <f t="shared" si="15"/>
        <v>10600</v>
      </c>
      <c r="AB52" s="189">
        <v>8700</v>
      </c>
      <c r="AC52" s="189"/>
      <c r="AD52" s="189"/>
      <c r="AE52" s="159">
        <f t="shared" si="16"/>
        <v>8700</v>
      </c>
    </row>
    <row r="53" spans="1:31" x14ac:dyDescent="0.2">
      <c r="A53" s="5"/>
      <c r="B53" s="85">
        <v>2933</v>
      </c>
      <c r="C53" s="10" t="s">
        <v>92</v>
      </c>
      <c r="D53" s="134">
        <f t="shared" si="2"/>
        <v>123430</v>
      </c>
      <c r="E53" s="134">
        <f t="shared" si="3"/>
        <v>0</v>
      </c>
      <c r="F53" s="134">
        <f t="shared" si="4"/>
        <v>0</v>
      </c>
      <c r="G53" s="39">
        <f t="shared" si="5"/>
        <v>123430</v>
      </c>
      <c r="H53" s="71">
        <f t="shared" si="6"/>
        <v>3893</v>
      </c>
      <c r="I53" s="72">
        <f t="shared" si="7"/>
        <v>127323</v>
      </c>
      <c r="J53" s="71">
        <v>1315</v>
      </c>
      <c r="K53" s="39">
        <f t="shared" si="8"/>
        <v>109136</v>
      </c>
      <c r="L53" s="39">
        <f t="shared" si="9"/>
        <v>16872</v>
      </c>
      <c r="M53" s="39">
        <f t="shared" si="10"/>
        <v>126008</v>
      </c>
      <c r="N53" s="72">
        <f t="shared" si="11"/>
        <v>127323</v>
      </c>
      <c r="O53" s="72">
        <v>0</v>
      </c>
      <c r="P53" s="72">
        <f t="shared" si="12"/>
        <v>127323</v>
      </c>
      <c r="Q53" s="74">
        <v>0</v>
      </c>
      <c r="R53" s="95"/>
      <c r="S53" s="93">
        <f t="shared" si="13"/>
        <v>3893</v>
      </c>
      <c r="T53" s="94">
        <f t="shared" si="22"/>
        <v>3.154014421129385E-2</v>
      </c>
      <c r="U53" s="104">
        <f t="shared" si="14"/>
        <v>3893</v>
      </c>
      <c r="X53" s="189">
        <v>109136</v>
      </c>
      <c r="Y53" s="189">
        <v>16872</v>
      </c>
      <c r="Z53" s="159">
        <f t="shared" si="15"/>
        <v>126008</v>
      </c>
      <c r="AB53" s="189">
        <v>123430</v>
      </c>
      <c r="AC53" s="189"/>
      <c r="AD53" s="189"/>
      <c r="AE53" s="159">
        <f t="shared" si="16"/>
        <v>123430</v>
      </c>
    </row>
    <row r="54" spans="1:31" x14ac:dyDescent="0.2">
      <c r="A54" s="5"/>
      <c r="B54" s="85">
        <v>2934</v>
      </c>
      <c r="C54" s="73" t="s">
        <v>167</v>
      </c>
      <c r="D54" s="134">
        <f t="shared" si="2"/>
        <v>0</v>
      </c>
      <c r="E54" s="134">
        <f t="shared" si="3"/>
        <v>0</v>
      </c>
      <c r="F54" s="134">
        <f t="shared" si="4"/>
        <v>0</v>
      </c>
      <c r="G54" s="39">
        <f t="shared" si="5"/>
        <v>0</v>
      </c>
      <c r="H54" s="71">
        <f t="shared" si="6"/>
        <v>0</v>
      </c>
      <c r="I54" s="72">
        <f t="shared" si="7"/>
        <v>0</v>
      </c>
      <c r="J54" s="71">
        <v>0</v>
      </c>
      <c r="K54" s="39">
        <f t="shared" si="8"/>
        <v>0</v>
      </c>
      <c r="L54" s="39">
        <f t="shared" si="9"/>
        <v>0</v>
      </c>
      <c r="M54" s="39">
        <f t="shared" si="10"/>
        <v>0</v>
      </c>
      <c r="N54" s="72">
        <f t="shared" si="11"/>
        <v>0</v>
      </c>
      <c r="O54" s="72">
        <v>0</v>
      </c>
      <c r="P54" s="72">
        <f t="shared" si="12"/>
        <v>0</v>
      </c>
      <c r="Q54" s="74">
        <v>0</v>
      </c>
      <c r="R54" s="95"/>
      <c r="S54" s="93">
        <f t="shared" si="13"/>
        <v>0</v>
      </c>
      <c r="T54" s="94" t="e">
        <f t="shared" si="22"/>
        <v>#DIV/0!</v>
      </c>
      <c r="U54" s="104">
        <f t="shared" si="14"/>
        <v>0</v>
      </c>
      <c r="X54" s="189">
        <v>0</v>
      </c>
      <c r="Y54" s="189">
        <v>0</v>
      </c>
      <c r="Z54" s="159">
        <f t="shared" si="15"/>
        <v>0</v>
      </c>
      <c r="AB54" s="189"/>
      <c r="AC54" s="189"/>
      <c r="AD54" s="189"/>
      <c r="AE54" s="159">
        <f t="shared" si="16"/>
        <v>0</v>
      </c>
    </row>
    <row r="55" spans="1:31" x14ac:dyDescent="0.2">
      <c r="A55" s="5"/>
      <c r="B55" s="85">
        <v>2936</v>
      </c>
      <c r="C55" s="10" t="s">
        <v>156</v>
      </c>
      <c r="D55" s="134">
        <f t="shared" si="2"/>
        <v>87228</v>
      </c>
      <c r="E55" s="134">
        <f t="shared" si="3"/>
        <v>0</v>
      </c>
      <c r="F55" s="134">
        <f t="shared" si="4"/>
        <v>0</v>
      </c>
      <c r="G55" s="39">
        <f t="shared" si="5"/>
        <v>87228</v>
      </c>
      <c r="H55" s="71">
        <f t="shared" si="6"/>
        <v>16753</v>
      </c>
      <c r="I55" s="72">
        <f t="shared" si="7"/>
        <v>103981</v>
      </c>
      <c r="J55" s="71">
        <v>15983</v>
      </c>
      <c r="K55" s="39">
        <f t="shared" si="8"/>
        <v>70398</v>
      </c>
      <c r="L55" s="39">
        <f t="shared" si="9"/>
        <v>17600</v>
      </c>
      <c r="M55" s="39">
        <f t="shared" si="10"/>
        <v>87998</v>
      </c>
      <c r="N55" s="72">
        <f t="shared" si="11"/>
        <v>103981</v>
      </c>
      <c r="O55" s="72">
        <v>0</v>
      </c>
      <c r="P55" s="72">
        <f t="shared" si="12"/>
        <v>103981</v>
      </c>
      <c r="Q55" s="74">
        <v>0</v>
      </c>
      <c r="R55" s="95"/>
      <c r="S55" s="93">
        <f t="shared" si="13"/>
        <v>16753</v>
      </c>
      <c r="T55" s="94">
        <f t="shared" si="22"/>
        <v>0.1920598890264594</v>
      </c>
      <c r="U55" s="104">
        <f t="shared" si="14"/>
        <v>16753</v>
      </c>
      <c r="X55" s="189">
        <v>70398</v>
      </c>
      <c r="Y55" s="189">
        <v>17600</v>
      </c>
      <c r="Z55" s="159">
        <f t="shared" si="15"/>
        <v>87998</v>
      </c>
      <c r="AB55" s="189">
        <v>87228</v>
      </c>
      <c r="AC55" s="189"/>
      <c r="AD55" s="189"/>
      <c r="AE55" s="159">
        <f t="shared" si="16"/>
        <v>87228</v>
      </c>
    </row>
    <row r="56" spans="1:31" x14ac:dyDescent="0.2">
      <c r="A56" s="5"/>
      <c r="B56" s="85">
        <v>2937</v>
      </c>
      <c r="C56" s="73" t="s">
        <v>237</v>
      </c>
      <c r="D56" s="134">
        <f t="shared" si="2"/>
        <v>65616</v>
      </c>
      <c r="E56" s="134">
        <f t="shared" si="3"/>
        <v>0</v>
      </c>
      <c r="F56" s="134">
        <f t="shared" si="4"/>
        <v>0</v>
      </c>
      <c r="G56" s="39">
        <f t="shared" si="5"/>
        <v>65616</v>
      </c>
      <c r="H56" s="71">
        <f t="shared" si="6"/>
        <v>34796</v>
      </c>
      <c r="I56" s="72">
        <f t="shared" si="7"/>
        <v>100412</v>
      </c>
      <c r="J56" s="71">
        <v>37265</v>
      </c>
      <c r="K56" s="39">
        <f t="shared" si="8"/>
        <v>63147</v>
      </c>
      <c r="L56" s="39">
        <f t="shared" si="9"/>
        <v>0</v>
      </c>
      <c r="M56" s="39">
        <f t="shared" si="10"/>
        <v>63147</v>
      </c>
      <c r="N56" s="72">
        <f t="shared" si="11"/>
        <v>100412</v>
      </c>
      <c r="O56" s="72">
        <v>0</v>
      </c>
      <c r="P56" s="72">
        <f t="shared" si="12"/>
        <v>100412</v>
      </c>
      <c r="Q56" s="74">
        <v>0</v>
      </c>
      <c r="R56" s="95"/>
      <c r="S56" s="93">
        <f t="shared" si="13"/>
        <v>34796</v>
      </c>
      <c r="T56" s="94"/>
      <c r="U56" s="104"/>
      <c r="X56" s="189">
        <v>63147</v>
      </c>
      <c r="Y56" s="189"/>
      <c r="Z56" s="159">
        <f t="shared" si="15"/>
        <v>63147</v>
      </c>
      <c r="AB56" s="189">
        <v>65616</v>
      </c>
      <c r="AC56" s="189"/>
      <c r="AD56" s="189"/>
      <c r="AE56" s="159">
        <f t="shared" si="16"/>
        <v>65616</v>
      </c>
    </row>
    <row r="57" spans="1:31" x14ac:dyDescent="0.2">
      <c r="A57" s="5"/>
      <c r="B57" s="85">
        <v>2939</v>
      </c>
      <c r="C57" s="10" t="s">
        <v>151</v>
      </c>
      <c r="D57" s="134">
        <f t="shared" si="2"/>
        <v>31100</v>
      </c>
      <c r="E57" s="134">
        <f t="shared" si="3"/>
        <v>0</v>
      </c>
      <c r="F57" s="134">
        <f t="shared" si="4"/>
        <v>0</v>
      </c>
      <c r="G57" s="39">
        <f t="shared" si="5"/>
        <v>31100</v>
      </c>
      <c r="H57" s="71">
        <f t="shared" si="6"/>
        <v>110611</v>
      </c>
      <c r="I57" s="72">
        <f t="shared" si="7"/>
        <v>141711</v>
      </c>
      <c r="J57" s="71">
        <v>101278</v>
      </c>
      <c r="K57" s="39">
        <f t="shared" si="8"/>
        <v>40433</v>
      </c>
      <c r="L57" s="39">
        <f t="shared" si="9"/>
        <v>0</v>
      </c>
      <c r="M57" s="39">
        <f t="shared" si="10"/>
        <v>40433</v>
      </c>
      <c r="N57" s="72">
        <f t="shared" si="11"/>
        <v>141711</v>
      </c>
      <c r="O57" s="72">
        <v>0</v>
      </c>
      <c r="P57" s="72">
        <f t="shared" si="12"/>
        <v>141711</v>
      </c>
      <c r="Q57" s="74">
        <v>0</v>
      </c>
      <c r="R57" s="95"/>
      <c r="S57" s="93">
        <f t="shared" si="13"/>
        <v>110611</v>
      </c>
      <c r="T57" s="94">
        <f t="shared" si="22"/>
        <v>3.5566237942122187</v>
      </c>
      <c r="U57" s="104">
        <f t="shared" si="14"/>
        <v>110611</v>
      </c>
      <c r="X57" s="189">
        <v>40433</v>
      </c>
      <c r="Y57" s="189"/>
      <c r="Z57" s="159">
        <f t="shared" si="15"/>
        <v>40433</v>
      </c>
      <c r="AB57" s="189">
        <v>31100</v>
      </c>
      <c r="AC57" s="189"/>
      <c r="AD57" s="189"/>
      <c r="AE57" s="159">
        <f t="shared" si="16"/>
        <v>31100</v>
      </c>
    </row>
    <row r="58" spans="1:31" hidden="1" x14ac:dyDescent="0.2">
      <c r="A58" s="5"/>
      <c r="B58" s="85">
        <v>2940</v>
      </c>
      <c r="C58" s="73" t="s">
        <v>182</v>
      </c>
      <c r="D58" s="134">
        <f t="shared" si="2"/>
        <v>0</v>
      </c>
      <c r="E58" s="134">
        <f t="shared" si="3"/>
        <v>0</v>
      </c>
      <c r="F58" s="134">
        <f t="shared" si="4"/>
        <v>0</v>
      </c>
      <c r="G58" s="39">
        <f t="shared" si="5"/>
        <v>0</v>
      </c>
      <c r="H58" s="71">
        <f t="shared" si="6"/>
        <v>0</v>
      </c>
      <c r="I58" s="72">
        <f t="shared" si="7"/>
        <v>0</v>
      </c>
      <c r="J58" s="71">
        <v>0</v>
      </c>
      <c r="K58" s="39">
        <f t="shared" si="8"/>
        <v>0</v>
      </c>
      <c r="L58" s="39">
        <f t="shared" si="9"/>
        <v>0</v>
      </c>
      <c r="M58" s="39">
        <f t="shared" si="10"/>
        <v>0</v>
      </c>
      <c r="N58" s="72">
        <f t="shared" si="11"/>
        <v>0</v>
      </c>
      <c r="O58" s="72">
        <v>0</v>
      </c>
      <c r="P58" s="72">
        <f t="shared" si="12"/>
        <v>0</v>
      </c>
      <c r="Q58" s="74">
        <v>0</v>
      </c>
      <c r="R58" s="95"/>
      <c r="S58" s="93">
        <f t="shared" si="13"/>
        <v>0</v>
      </c>
      <c r="T58" s="94" t="e">
        <f t="shared" si="22"/>
        <v>#DIV/0!</v>
      </c>
      <c r="U58" s="104">
        <f t="shared" si="14"/>
        <v>0</v>
      </c>
      <c r="X58" s="189"/>
      <c r="Y58" s="189"/>
      <c r="Z58" s="159">
        <f t="shared" si="15"/>
        <v>0</v>
      </c>
      <c r="AB58" s="189"/>
      <c r="AC58" s="189"/>
      <c r="AD58" s="189"/>
      <c r="AE58" s="159">
        <f t="shared" si="16"/>
        <v>0</v>
      </c>
    </row>
    <row r="59" spans="1:31" x14ac:dyDescent="0.2">
      <c r="A59" s="5"/>
      <c r="B59" s="85">
        <v>2953</v>
      </c>
      <c r="C59" s="10" t="s">
        <v>93</v>
      </c>
      <c r="D59" s="134">
        <f t="shared" si="2"/>
        <v>19800</v>
      </c>
      <c r="E59" s="134">
        <f t="shared" si="3"/>
        <v>0</v>
      </c>
      <c r="F59" s="134">
        <f t="shared" si="4"/>
        <v>0</v>
      </c>
      <c r="G59" s="39">
        <f t="shared" si="5"/>
        <v>19800</v>
      </c>
      <c r="H59" s="71">
        <f t="shared" si="6"/>
        <v>0</v>
      </c>
      <c r="I59" s="72">
        <f t="shared" si="7"/>
        <v>19800</v>
      </c>
      <c r="J59" s="71">
        <v>0</v>
      </c>
      <c r="K59" s="39">
        <f t="shared" si="8"/>
        <v>19800</v>
      </c>
      <c r="L59" s="39">
        <f t="shared" si="9"/>
        <v>0</v>
      </c>
      <c r="M59" s="39">
        <f t="shared" si="10"/>
        <v>19800</v>
      </c>
      <c r="N59" s="72">
        <f t="shared" si="11"/>
        <v>19800</v>
      </c>
      <c r="O59" s="72">
        <v>0</v>
      </c>
      <c r="P59" s="72">
        <f t="shared" si="12"/>
        <v>19800</v>
      </c>
      <c r="Q59" s="74">
        <v>0</v>
      </c>
      <c r="R59" s="95">
        <f t="shared" ref="R59:R84" si="23">I59-P59</f>
        <v>0</v>
      </c>
      <c r="S59" s="93">
        <f t="shared" si="13"/>
        <v>0</v>
      </c>
      <c r="T59" s="94">
        <f t="shared" si="22"/>
        <v>0</v>
      </c>
      <c r="U59" s="104">
        <f t="shared" si="14"/>
        <v>0</v>
      </c>
      <c r="X59" s="189">
        <v>19800</v>
      </c>
      <c r="Y59" s="189"/>
      <c r="Z59" s="159">
        <f t="shared" si="15"/>
        <v>19800</v>
      </c>
      <c r="AB59" s="189">
        <v>19800</v>
      </c>
      <c r="AC59" s="189"/>
      <c r="AD59" s="189"/>
      <c r="AE59" s="159">
        <f t="shared" si="16"/>
        <v>19800</v>
      </c>
    </row>
    <row r="60" spans="1:31" x14ac:dyDescent="0.2">
      <c r="A60" s="5"/>
      <c r="B60" s="85">
        <v>2954</v>
      </c>
      <c r="C60" s="73" t="s">
        <v>304</v>
      </c>
      <c r="D60" s="134">
        <f t="shared" si="2"/>
        <v>198602</v>
      </c>
      <c r="E60" s="134">
        <f t="shared" si="3"/>
        <v>0</v>
      </c>
      <c r="F60" s="134">
        <f t="shared" si="4"/>
        <v>0</v>
      </c>
      <c r="G60" s="39">
        <f t="shared" si="5"/>
        <v>198602</v>
      </c>
      <c r="H60" s="71">
        <f>+P60-G60</f>
        <v>403260</v>
      </c>
      <c r="I60" s="72">
        <f t="shared" si="7"/>
        <v>601862</v>
      </c>
      <c r="J60" s="71">
        <v>401368</v>
      </c>
      <c r="K60" s="39">
        <f t="shared" si="8"/>
        <v>200494</v>
      </c>
      <c r="L60" s="39">
        <f t="shared" si="9"/>
        <v>0</v>
      </c>
      <c r="M60" s="39">
        <f t="shared" si="10"/>
        <v>200494</v>
      </c>
      <c r="N60" s="72">
        <f t="shared" si="11"/>
        <v>601862</v>
      </c>
      <c r="O60" s="72"/>
      <c r="P60" s="72">
        <f t="shared" si="12"/>
        <v>601862</v>
      </c>
      <c r="Q60" s="74"/>
      <c r="R60" s="95"/>
      <c r="S60" s="93"/>
      <c r="T60" s="94"/>
      <c r="U60" s="104"/>
      <c r="X60" s="189">
        <v>200494</v>
      </c>
      <c r="Y60" s="189"/>
      <c r="Z60" s="159">
        <f t="shared" si="15"/>
        <v>200494</v>
      </c>
      <c r="AB60" s="189">
        <v>198602</v>
      </c>
      <c r="AC60" s="189"/>
      <c r="AD60" s="189"/>
      <c r="AE60" s="159">
        <f t="shared" si="16"/>
        <v>198602</v>
      </c>
    </row>
    <row r="61" spans="1:31" x14ac:dyDescent="0.2">
      <c r="A61" s="5"/>
      <c r="B61" s="85">
        <v>2955</v>
      </c>
      <c r="C61" s="10" t="s">
        <v>95</v>
      </c>
      <c r="D61" s="134">
        <f t="shared" si="2"/>
        <v>0</v>
      </c>
      <c r="E61" s="134">
        <f t="shared" si="3"/>
        <v>0</v>
      </c>
      <c r="F61" s="134">
        <f t="shared" si="4"/>
        <v>0</v>
      </c>
      <c r="G61" s="39">
        <f t="shared" si="5"/>
        <v>0</v>
      </c>
      <c r="H61" s="71">
        <f t="shared" si="6"/>
        <v>0</v>
      </c>
      <c r="I61" s="72">
        <f t="shared" si="7"/>
        <v>0</v>
      </c>
      <c r="J61" s="71">
        <v>0</v>
      </c>
      <c r="K61" s="39">
        <f t="shared" si="8"/>
        <v>0</v>
      </c>
      <c r="L61" s="39">
        <f t="shared" si="9"/>
        <v>0</v>
      </c>
      <c r="M61" s="39">
        <f t="shared" si="10"/>
        <v>0</v>
      </c>
      <c r="N61" s="72">
        <f t="shared" si="11"/>
        <v>0</v>
      </c>
      <c r="O61" s="72">
        <v>0</v>
      </c>
      <c r="P61" s="72">
        <f t="shared" si="12"/>
        <v>0</v>
      </c>
      <c r="Q61" s="74">
        <v>0</v>
      </c>
      <c r="R61" s="95">
        <f t="shared" si="23"/>
        <v>0</v>
      </c>
      <c r="S61" s="93">
        <f t="shared" si="13"/>
        <v>0</v>
      </c>
      <c r="T61" s="94" t="e">
        <f t="shared" si="22"/>
        <v>#DIV/0!</v>
      </c>
      <c r="U61" s="104">
        <f t="shared" si="14"/>
        <v>0</v>
      </c>
      <c r="X61" s="189"/>
      <c r="Y61" s="189"/>
      <c r="Z61" s="159">
        <f t="shared" si="15"/>
        <v>0</v>
      </c>
      <c r="AB61" s="189"/>
      <c r="AC61" s="189"/>
      <c r="AD61" s="189"/>
      <c r="AE61" s="159">
        <f t="shared" si="16"/>
        <v>0</v>
      </c>
    </row>
    <row r="62" spans="1:31" x14ac:dyDescent="0.2">
      <c r="A62" s="5"/>
      <c r="B62" s="85">
        <v>2956</v>
      </c>
      <c r="C62" s="73" t="s">
        <v>194</v>
      </c>
      <c r="D62" s="134">
        <f t="shared" si="2"/>
        <v>100</v>
      </c>
      <c r="E62" s="134">
        <f t="shared" si="3"/>
        <v>0</v>
      </c>
      <c r="F62" s="134">
        <f t="shared" si="4"/>
        <v>0</v>
      </c>
      <c r="G62" s="39">
        <f t="shared" si="5"/>
        <v>100</v>
      </c>
      <c r="H62" s="71">
        <f t="shared" si="6"/>
        <v>122037</v>
      </c>
      <c r="I62" s="72">
        <f t="shared" si="7"/>
        <v>122137</v>
      </c>
      <c r="J62" s="71">
        <v>122137</v>
      </c>
      <c r="K62" s="39">
        <f t="shared" si="8"/>
        <v>0</v>
      </c>
      <c r="L62" s="39">
        <f t="shared" si="9"/>
        <v>0</v>
      </c>
      <c r="M62" s="39">
        <f t="shared" si="10"/>
        <v>0</v>
      </c>
      <c r="N62" s="72">
        <f t="shared" si="11"/>
        <v>122137</v>
      </c>
      <c r="O62" s="72">
        <v>0</v>
      </c>
      <c r="P62" s="72">
        <f t="shared" si="12"/>
        <v>122137</v>
      </c>
      <c r="Q62" s="74">
        <v>0</v>
      </c>
      <c r="R62" s="95">
        <f t="shared" ref="R62" si="24">I62-P62</f>
        <v>0</v>
      </c>
      <c r="S62" s="93">
        <f t="shared" si="13"/>
        <v>122037</v>
      </c>
      <c r="T62" s="94"/>
      <c r="U62" s="104"/>
      <c r="X62" s="189"/>
      <c r="Y62" s="189"/>
      <c r="Z62" s="159">
        <f t="shared" si="15"/>
        <v>0</v>
      </c>
      <c r="AB62" s="189">
        <v>100</v>
      </c>
      <c r="AC62" s="189"/>
      <c r="AD62" s="189"/>
      <c r="AE62" s="159">
        <f t="shared" si="16"/>
        <v>100</v>
      </c>
    </row>
    <row r="63" spans="1:31" x14ac:dyDescent="0.2">
      <c r="A63" s="5"/>
      <c r="B63" s="85">
        <v>2961</v>
      </c>
      <c r="C63" s="73" t="s">
        <v>274</v>
      </c>
      <c r="D63" s="134">
        <f t="shared" si="2"/>
        <v>56980</v>
      </c>
      <c r="E63" s="134">
        <f t="shared" si="3"/>
        <v>0</v>
      </c>
      <c r="F63" s="134">
        <f t="shared" si="4"/>
        <v>0</v>
      </c>
      <c r="G63" s="39">
        <f t="shared" si="5"/>
        <v>56980</v>
      </c>
      <c r="H63" s="71">
        <f t="shared" si="6"/>
        <v>8916</v>
      </c>
      <c r="I63" s="72">
        <f t="shared" si="7"/>
        <v>65896</v>
      </c>
      <c r="J63" s="71">
        <v>6896</v>
      </c>
      <c r="K63" s="39">
        <f t="shared" si="8"/>
        <v>59000</v>
      </c>
      <c r="L63" s="39">
        <f t="shared" si="9"/>
        <v>0</v>
      </c>
      <c r="M63" s="39">
        <f t="shared" si="10"/>
        <v>59000</v>
      </c>
      <c r="N63" s="72">
        <f t="shared" si="11"/>
        <v>65896</v>
      </c>
      <c r="O63" s="72">
        <v>0</v>
      </c>
      <c r="P63" s="72">
        <f t="shared" si="12"/>
        <v>65896</v>
      </c>
      <c r="Q63" s="74">
        <v>0</v>
      </c>
      <c r="R63" s="95"/>
      <c r="S63" s="93"/>
      <c r="T63" s="94"/>
      <c r="U63" s="104"/>
      <c r="X63" s="189">
        <v>59000</v>
      </c>
      <c r="Y63" s="189"/>
      <c r="Z63" s="159">
        <f t="shared" si="15"/>
        <v>59000</v>
      </c>
      <c r="AB63" s="189">
        <v>56980</v>
      </c>
      <c r="AC63" s="189"/>
      <c r="AD63" s="189"/>
      <c r="AE63" s="159">
        <f t="shared" si="16"/>
        <v>56980</v>
      </c>
    </row>
    <row r="64" spans="1:31" x14ac:dyDescent="0.2">
      <c r="A64" s="5"/>
      <c r="B64" s="85">
        <v>2963</v>
      </c>
      <c r="C64" s="73" t="s">
        <v>271</v>
      </c>
      <c r="D64" s="134">
        <f t="shared" si="2"/>
        <v>0</v>
      </c>
      <c r="E64" s="134">
        <f t="shared" si="3"/>
        <v>0</v>
      </c>
      <c r="F64" s="134">
        <f t="shared" si="4"/>
        <v>0</v>
      </c>
      <c r="G64" s="39">
        <f t="shared" si="5"/>
        <v>0</v>
      </c>
      <c r="H64" s="71">
        <f t="shared" si="6"/>
        <v>25345</v>
      </c>
      <c r="I64" s="72">
        <f t="shared" si="7"/>
        <v>25345</v>
      </c>
      <c r="J64" s="71">
        <v>25345</v>
      </c>
      <c r="K64" s="39">
        <f t="shared" si="8"/>
        <v>0</v>
      </c>
      <c r="L64" s="39">
        <f t="shared" si="9"/>
        <v>0</v>
      </c>
      <c r="M64" s="39">
        <f t="shared" si="10"/>
        <v>0</v>
      </c>
      <c r="N64" s="72">
        <f t="shared" si="11"/>
        <v>25345</v>
      </c>
      <c r="O64" s="72">
        <v>0</v>
      </c>
      <c r="P64" s="72">
        <f t="shared" si="12"/>
        <v>25345</v>
      </c>
      <c r="Q64" s="74">
        <v>0</v>
      </c>
      <c r="R64" s="95"/>
      <c r="S64" s="93">
        <f t="shared" si="13"/>
        <v>25345</v>
      </c>
      <c r="T64" s="94" t="e">
        <f t="shared" si="22"/>
        <v>#DIV/0!</v>
      </c>
      <c r="U64" s="104">
        <f t="shared" si="14"/>
        <v>25345</v>
      </c>
      <c r="X64" s="189"/>
      <c r="Y64" s="189"/>
      <c r="Z64" s="159">
        <f t="shared" si="15"/>
        <v>0</v>
      </c>
      <c r="AB64" s="189"/>
      <c r="AC64" s="189"/>
      <c r="AD64" s="189"/>
      <c r="AE64" s="159">
        <f t="shared" si="16"/>
        <v>0</v>
      </c>
    </row>
    <row r="65" spans="1:31" x14ac:dyDescent="0.2">
      <c r="A65" s="5"/>
      <c r="B65" s="85">
        <v>2964</v>
      </c>
      <c r="C65" s="10" t="s">
        <v>96</v>
      </c>
      <c r="D65" s="134">
        <f t="shared" si="2"/>
        <v>0</v>
      </c>
      <c r="E65" s="134">
        <f t="shared" si="3"/>
        <v>0</v>
      </c>
      <c r="F65" s="134">
        <f t="shared" si="4"/>
        <v>0</v>
      </c>
      <c r="G65" s="39">
        <f t="shared" si="5"/>
        <v>0</v>
      </c>
      <c r="H65" s="71">
        <f t="shared" si="6"/>
        <v>18032</v>
      </c>
      <c r="I65" s="72">
        <f t="shared" si="7"/>
        <v>18032</v>
      </c>
      <c r="J65" s="71">
        <v>18032</v>
      </c>
      <c r="K65" s="39">
        <f t="shared" si="8"/>
        <v>0</v>
      </c>
      <c r="L65" s="39">
        <f t="shared" si="9"/>
        <v>0</v>
      </c>
      <c r="M65" s="39">
        <f t="shared" si="10"/>
        <v>0</v>
      </c>
      <c r="N65" s="72">
        <f t="shared" si="11"/>
        <v>18032</v>
      </c>
      <c r="O65" s="72">
        <v>0</v>
      </c>
      <c r="P65" s="72">
        <f t="shared" si="12"/>
        <v>18032</v>
      </c>
      <c r="Q65" s="74">
        <v>0</v>
      </c>
      <c r="R65" s="95">
        <f t="shared" si="23"/>
        <v>0</v>
      </c>
      <c r="S65" s="93">
        <f t="shared" si="13"/>
        <v>18032</v>
      </c>
      <c r="T65" s="94" t="e">
        <f t="shared" si="22"/>
        <v>#DIV/0!</v>
      </c>
      <c r="U65" s="104">
        <f t="shared" si="14"/>
        <v>18032</v>
      </c>
      <c r="X65" s="189"/>
      <c r="Y65" s="189"/>
      <c r="Z65" s="159">
        <f t="shared" si="15"/>
        <v>0</v>
      </c>
      <c r="AB65" s="189"/>
      <c r="AC65" s="189"/>
      <c r="AD65" s="189"/>
      <c r="AE65" s="159">
        <f t="shared" si="16"/>
        <v>0</v>
      </c>
    </row>
    <row r="66" spans="1:31" x14ac:dyDescent="0.2">
      <c r="A66" s="5"/>
      <c r="B66" s="85">
        <v>2965</v>
      </c>
      <c r="C66" s="73" t="s">
        <v>278</v>
      </c>
      <c r="D66" s="134">
        <f t="shared" si="2"/>
        <v>551291</v>
      </c>
      <c r="E66" s="134">
        <f t="shared" si="3"/>
        <v>0</v>
      </c>
      <c r="F66" s="134">
        <f t="shared" si="4"/>
        <v>0</v>
      </c>
      <c r="G66" s="39">
        <f t="shared" si="5"/>
        <v>551291</v>
      </c>
      <c r="H66" s="71">
        <f t="shared" si="6"/>
        <v>8869</v>
      </c>
      <c r="I66" s="72">
        <f t="shared" si="7"/>
        <v>560160</v>
      </c>
      <c r="J66" s="71">
        <v>-383</v>
      </c>
      <c r="K66" s="39">
        <f t="shared" si="8"/>
        <v>560543</v>
      </c>
      <c r="L66" s="39">
        <f t="shared" si="9"/>
        <v>0</v>
      </c>
      <c r="M66" s="39">
        <f t="shared" si="10"/>
        <v>560543</v>
      </c>
      <c r="N66" s="72">
        <f t="shared" si="11"/>
        <v>560160</v>
      </c>
      <c r="O66" s="72">
        <v>0</v>
      </c>
      <c r="P66" s="72">
        <f t="shared" si="12"/>
        <v>560160</v>
      </c>
      <c r="Q66" s="74">
        <v>0</v>
      </c>
      <c r="R66" s="95"/>
      <c r="S66" s="93"/>
      <c r="T66" s="94"/>
      <c r="U66" s="104"/>
      <c r="X66" s="189">
        <v>560543</v>
      </c>
      <c r="Y66" s="189"/>
      <c r="Z66" s="159">
        <f t="shared" si="15"/>
        <v>560543</v>
      </c>
      <c r="AB66" s="189">
        <v>551291</v>
      </c>
      <c r="AC66" s="189"/>
      <c r="AD66" s="189"/>
      <c r="AE66" s="159">
        <f t="shared" si="16"/>
        <v>551291</v>
      </c>
    </row>
    <row r="67" spans="1:31" x14ac:dyDescent="0.2">
      <c r="A67" s="5"/>
      <c r="B67" s="85">
        <v>2966</v>
      </c>
      <c r="C67" s="10" t="s">
        <v>57</v>
      </c>
      <c r="D67" s="134">
        <f t="shared" si="2"/>
        <v>300</v>
      </c>
      <c r="E67" s="134">
        <f t="shared" si="3"/>
        <v>0</v>
      </c>
      <c r="F67" s="134">
        <f t="shared" si="4"/>
        <v>0</v>
      </c>
      <c r="G67" s="39">
        <f t="shared" si="5"/>
        <v>300</v>
      </c>
      <c r="H67" s="71">
        <f t="shared" si="6"/>
        <v>1723</v>
      </c>
      <c r="I67" s="72">
        <f t="shared" si="7"/>
        <v>2023</v>
      </c>
      <c r="J67" s="71">
        <v>1723</v>
      </c>
      <c r="K67" s="39">
        <f t="shared" si="8"/>
        <v>300</v>
      </c>
      <c r="L67" s="39">
        <f t="shared" si="9"/>
        <v>0</v>
      </c>
      <c r="M67" s="39">
        <f t="shared" si="10"/>
        <v>300</v>
      </c>
      <c r="N67" s="72">
        <f t="shared" si="11"/>
        <v>2023</v>
      </c>
      <c r="O67" s="72">
        <v>0</v>
      </c>
      <c r="P67" s="72">
        <f t="shared" si="12"/>
        <v>2023</v>
      </c>
      <c r="Q67" s="74">
        <v>0</v>
      </c>
      <c r="R67" s="95">
        <f t="shared" si="23"/>
        <v>0</v>
      </c>
      <c r="S67" s="93">
        <f t="shared" si="13"/>
        <v>1723</v>
      </c>
      <c r="T67" s="94">
        <f t="shared" si="22"/>
        <v>5.7433333333333332</v>
      </c>
      <c r="U67" s="104">
        <f t="shared" si="14"/>
        <v>1723</v>
      </c>
      <c r="X67" s="189">
        <v>300</v>
      </c>
      <c r="Y67" s="189"/>
      <c r="Z67" s="159">
        <f t="shared" si="15"/>
        <v>300</v>
      </c>
      <c r="AB67" s="189">
        <v>300</v>
      </c>
      <c r="AC67" s="189"/>
      <c r="AD67" s="189"/>
      <c r="AE67" s="159">
        <f t="shared" si="16"/>
        <v>300</v>
      </c>
    </row>
    <row r="68" spans="1:31" x14ac:dyDescent="0.2">
      <c r="A68" s="5"/>
      <c r="B68" s="85">
        <v>2967</v>
      </c>
      <c r="C68" s="73" t="s">
        <v>287</v>
      </c>
      <c r="D68" s="134">
        <f t="shared" si="2"/>
        <v>224700</v>
      </c>
      <c r="E68" s="134">
        <f t="shared" si="3"/>
        <v>0</v>
      </c>
      <c r="F68" s="134">
        <f t="shared" si="4"/>
        <v>555</v>
      </c>
      <c r="G68" s="39">
        <f t="shared" si="5"/>
        <v>225255</v>
      </c>
      <c r="H68" s="71">
        <f t="shared" si="6"/>
        <v>649181</v>
      </c>
      <c r="I68" s="72">
        <f t="shared" si="7"/>
        <v>874436</v>
      </c>
      <c r="J68" s="71">
        <v>653546</v>
      </c>
      <c r="K68" s="39">
        <f t="shared" si="8"/>
        <v>220890</v>
      </c>
      <c r="L68" s="39">
        <f t="shared" si="9"/>
        <v>0</v>
      </c>
      <c r="M68" s="39">
        <f t="shared" si="10"/>
        <v>220890</v>
      </c>
      <c r="N68" s="72">
        <f t="shared" si="11"/>
        <v>874436</v>
      </c>
      <c r="O68" s="72">
        <v>0</v>
      </c>
      <c r="P68" s="72">
        <f t="shared" si="12"/>
        <v>874436</v>
      </c>
      <c r="Q68" s="74">
        <v>0</v>
      </c>
      <c r="R68" s="95">
        <f t="shared" si="23"/>
        <v>0</v>
      </c>
      <c r="S68" s="93">
        <f t="shared" si="13"/>
        <v>649181</v>
      </c>
      <c r="T68" s="94">
        <f t="shared" si="22"/>
        <v>2.8819826418947416</v>
      </c>
      <c r="U68" s="104">
        <f t="shared" si="14"/>
        <v>649181</v>
      </c>
      <c r="X68" s="189">
        <v>220890</v>
      </c>
      <c r="Y68" s="189"/>
      <c r="Z68" s="159">
        <f t="shared" si="15"/>
        <v>220890</v>
      </c>
      <c r="AB68" s="189">
        <v>224700</v>
      </c>
      <c r="AC68" s="189"/>
      <c r="AD68" s="189">
        <v>555</v>
      </c>
      <c r="AE68" s="159">
        <f t="shared" si="16"/>
        <v>225255</v>
      </c>
    </row>
    <row r="69" spans="1:31" x14ac:dyDescent="0.2">
      <c r="A69" s="5"/>
      <c r="B69" s="85">
        <v>2968</v>
      </c>
      <c r="C69" s="10" t="s">
        <v>58</v>
      </c>
      <c r="D69" s="134">
        <f t="shared" ref="D69:D132" si="25">+AB69</f>
        <v>310031</v>
      </c>
      <c r="E69" s="134">
        <f t="shared" ref="E69:E132" si="26">+AC69</f>
        <v>0</v>
      </c>
      <c r="F69" s="134">
        <f t="shared" ref="F69:F132" si="27">+AD69</f>
        <v>0</v>
      </c>
      <c r="G69" s="39">
        <f t="shared" ref="G69:G132" si="28">SUM(D69:F69)</f>
        <v>310031</v>
      </c>
      <c r="H69" s="71">
        <f t="shared" ref="H69:H132" si="29">+P69-G69</f>
        <v>280573</v>
      </c>
      <c r="I69" s="72">
        <f t="shared" ref="I69:I132" si="30">G69+H69</f>
        <v>590604</v>
      </c>
      <c r="J69" s="71">
        <v>279361</v>
      </c>
      <c r="K69" s="39">
        <f t="shared" ref="K69:K132" si="31">+X69</f>
        <v>311243</v>
      </c>
      <c r="L69" s="39">
        <f t="shared" ref="L69:L132" si="32">+Y69</f>
        <v>0</v>
      </c>
      <c r="M69" s="39">
        <f t="shared" ref="M69:M132" si="33">+K69+L69</f>
        <v>311243</v>
      </c>
      <c r="N69" s="72">
        <f t="shared" ref="N69:N132" si="34">J69+M69</f>
        <v>590604</v>
      </c>
      <c r="O69" s="72">
        <v>0</v>
      </c>
      <c r="P69" s="72">
        <f t="shared" ref="P69:P132" si="35">N69+O69</f>
        <v>590604</v>
      </c>
      <c r="Q69" s="74">
        <v>0</v>
      </c>
      <c r="R69" s="95">
        <f t="shared" si="23"/>
        <v>0</v>
      </c>
      <c r="S69" s="93">
        <f t="shared" si="13"/>
        <v>280573</v>
      </c>
      <c r="T69" s="94">
        <f t="shared" si="22"/>
        <v>0.90498369517886923</v>
      </c>
      <c r="U69" s="104">
        <f t="shared" si="14"/>
        <v>280573</v>
      </c>
      <c r="X69" s="189">
        <v>311243</v>
      </c>
      <c r="Y69" s="189"/>
      <c r="Z69" s="159">
        <f t="shared" ref="Z69:Z132" si="36">SUM(X69:Y69)</f>
        <v>311243</v>
      </c>
      <c r="AB69" s="189">
        <v>310031</v>
      </c>
      <c r="AC69" s="189"/>
      <c r="AD69" s="189"/>
      <c r="AE69" s="159">
        <f t="shared" ref="AE69:AE132" si="37">SUM(AB69:AD69)</f>
        <v>310031</v>
      </c>
    </row>
    <row r="70" spans="1:31" hidden="1" x14ac:dyDescent="0.2">
      <c r="A70" s="5"/>
      <c r="B70" s="85">
        <v>2969</v>
      </c>
      <c r="C70" s="10" t="s">
        <v>59</v>
      </c>
      <c r="D70" s="134">
        <f t="shared" si="25"/>
        <v>0</v>
      </c>
      <c r="E70" s="134">
        <f t="shared" si="26"/>
        <v>0</v>
      </c>
      <c r="F70" s="134">
        <f t="shared" si="27"/>
        <v>0</v>
      </c>
      <c r="G70" s="39">
        <f t="shared" si="28"/>
        <v>0</v>
      </c>
      <c r="H70" s="71">
        <f t="shared" si="29"/>
        <v>0</v>
      </c>
      <c r="I70" s="72">
        <f t="shared" si="30"/>
        <v>0</v>
      </c>
      <c r="J70" s="71">
        <v>0</v>
      </c>
      <c r="K70" s="39">
        <f t="shared" si="31"/>
        <v>0</v>
      </c>
      <c r="L70" s="39">
        <f t="shared" si="32"/>
        <v>0</v>
      </c>
      <c r="M70" s="39">
        <f t="shared" si="33"/>
        <v>0</v>
      </c>
      <c r="N70" s="72">
        <f t="shared" si="34"/>
        <v>0</v>
      </c>
      <c r="O70" s="72">
        <v>0</v>
      </c>
      <c r="P70" s="72">
        <f t="shared" si="35"/>
        <v>0</v>
      </c>
      <c r="Q70" s="74">
        <v>0</v>
      </c>
      <c r="R70" s="95">
        <f t="shared" si="23"/>
        <v>0</v>
      </c>
      <c r="S70" s="93">
        <f t="shared" si="13"/>
        <v>0</v>
      </c>
      <c r="T70" s="94" t="e">
        <f t="shared" si="22"/>
        <v>#DIV/0!</v>
      </c>
      <c r="U70" s="104">
        <f t="shared" si="14"/>
        <v>0</v>
      </c>
      <c r="X70" s="189"/>
      <c r="Y70" s="189"/>
      <c r="Z70" s="159">
        <f t="shared" si="36"/>
        <v>0</v>
      </c>
      <c r="AB70" s="189"/>
      <c r="AC70" s="189"/>
      <c r="AD70" s="189"/>
      <c r="AE70" s="159">
        <f t="shared" si="37"/>
        <v>0</v>
      </c>
    </row>
    <row r="71" spans="1:31" x14ac:dyDescent="0.2">
      <c r="A71" s="5"/>
      <c r="B71" s="85">
        <v>2970</v>
      </c>
      <c r="C71" s="10" t="s">
        <v>60</v>
      </c>
      <c r="D71" s="134">
        <f t="shared" si="25"/>
        <v>35828</v>
      </c>
      <c r="E71" s="134">
        <f t="shared" si="26"/>
        <v>0</v>
      </c>
      <c r="F71" s="134">
        <f t="shared" si="27"/>
        <v>0</v>
      </c>
      <c r="G71" s="39">
        <f t="shared" si="28"/>
        <v>35828</v>
      </c>
      <c r="H71" s="71">
        <f t="shared" si="29"/>
        <v>10969</v>
      </c>
      <c r="I71" s="72">
        <f t="shared" si="30"/>
        <v>46797</v>
      </c>
      <c r="J71" s="71">
        <v>10696</v>
      </c>
      <c r="K71" s="39">
        <f t="shared" si="31"/>
        <v>36101</v>
      </c>
      <c r="L71" s="39">
        <f t="shared" si="32"/>
        <v>0</v>
      </c>
      <c r="M71" s="39">
        <f t="shared" si="33"/>
        <v>36101</v>
      </c>
      <c r="N71" s="72">
        <f t="shared" si="34"/>
        <v>46797</v>
      </c>
      <c r="O71" s="72">
        <v>0</v>
      </c>
      <c r="P71" s="72">
        <f t="shared" si="35"/>
        <v>46797</v>
      </c>
      <c r="Q71" s="74">
        <v>0</v>
      </c>
      <c r="R71" s="95">
        <f t="shared" si="23"/>
        <v>0</v>
      </c>
      <c r="S71" s="93">
        <f t="shared" si="13"/>
        <v>10969</v>
      </c>
      <c r="T71" s="94">
        <f t="shared" si="22"/>
        <v>0.30615719548956122</v>
      </c>
      <c r="U71" s="104">
        <f t="shared" si="14"/>
        <v>10969</v>
      </c>
      <c r="X71" s="189">
        <v>36101</v>
      </c>
      <c r="Y71" s="189"/>
      <c r="Z71" s="159">
        <f t="shared" si="36"/>
        <v>36101</v>
      </c>
      <c r="AB71" s="189">
        <v>35828</v>
      </c>
      <c r="AC71" s="189"/>
      <c r="AD71" s="189"/>
      <c r="AE71" s="159">
        <f t="shared" si="37"/>
        <v>35828</v>
      </c>
    </row>
    <row r="72" spans="1:31" x14ac:dyDescent="0.2">
      <c r="A72" s="5"/>
      <c r="B72" s="85">
        <v>2971</v>
      </c>
      <c r="C72" s="10" t="s">
        <v>61</v>
      </c>
      <c r="D72" s="134">
        <f t="shared" si="25"/>
        <v>377651</v>
      </c>
      <c r="E72" s="134">
        <f t="shared" si="26"/>
        <v>0</v>
      </c>
      <c r="F72" s="134">
        <f t="shared" si="27"/>
        <v>2176</v>
      </c>
      <c r="G72" s="39">
        <f t="shared" si="28"/>
        <v>379827</v>
      </c>
      <c r="H72" s="71">
        <f t="shared" si="29"/>
        <v>128853</v>
      </c>
      <c r="I72" s="72">
        <f t="shared" si="30"/>
        <v>508680</v>
      </c>
      <c r="J72" s="71">
        <v>127468</v>
      </c>
      <c r="K72" s="39">
        <f t="shared" si="31"/>
        <v>381212</v>
      </c>
      <c r="L72" s="39">
        <f t="shared" si="32"/>
        <v>0</v>
      </c>
      <c r="M72" s="39">
        <f t="shared" si="33"/>
        <v>381212</v>
      </c>
      <c r="N72" s="72">
        <f t="shared" si="34"/>
        <v>508680</v>
      </c>
      <c r="O72" s="72">
        <v>0</v>
      </c>
      <c r="P72" s="72">
        <f t="shared" si="35"/>
        <v>508680</v>
      </c>
      <c r="Q72" s="74">
        <v>0</v>
      </c>
      <c r="R72" s="95">
        <f t="shared" si="23"/>
        <v>0</v>
      </c>
      <c r="S72" s="93">
        <f t="shared" si="13"/>
        <v>128853</v>
      </c>
      <c r="T72" s="94">
        <f t="shared" si="22"/>
        <v>0.33924128616449067</v>
      </c>
      <c r="U72" s="104">
        <f t="shared" si="14"/>
        <v>128853</v>
      </c>
      <c r="X72" s="189">
        <v>381212</v>
      </c>
      <c r="Y72" s="189"/>
      <c r="Z72" s="159">
        <f t="shared" si="36"/>
        <v>381212</v>
      </c>
      <c r="AB72" s="189">
        <v>377651</v>
      </c>
      <c r="AC72" s="189"/>
      <c r="AD72" s="189">
        <v>2176</v>
      </c>
      <c r="AE72" s="159">
        <f t="shared" si="37"/>
        <v>379827</v>
      </c>
    </row>
    <row r="73" spans="1:31" x14ac:dyDescent="0.2">
      <c r="A73" s="5"/>
      <c r="B73" s="85">
        <v>2972</v>
      </c>
      <c r="C73" s="10" t="s">
        <v>62</v>
      </c>
      <c r="D73" s="134">
        <f t="shared" si="25"/>
        <v>701746</v>
      </c>
      <c r="E73" s="134">
        <f t="shared" si="26"/>
        <v>0</v>
      </c>
      <c r="F73" s="134">
        <f t="shared" si="27"/>
        <v>409</v>
      </c>
      <c r="G73" s="39">
        <f t="shared" si="28"/>
        <v>702155</v>
      </c>
      <c r="H73" s="71">
        <f t="shared" si="29"/>
        <v>471038</v>
      </c>
      <c r="I73" s="72">
        <f t="shared" si="30"/>
        <v>1173193</v>
      </c>
      <c r="J73" s="71">
        <v>586930</v>
      </c>
      <c r="K73" s="39">
        <f t="shared" si="31"/>
        <v>586263</v>
      </c>
      <c r="L73" s="39">
        <f t="shared" si="32"/>
        <v>0</v>
      </c>
      <c r="M73" s="39">
        <f t="shared" si="33"/>
        <v>586263</v>
      </c>
      <c r="N73" s="72">
        <f t="shared" si="34"/>
        <v>1173193</v>
      </c>
      <c r="O73" s="72">
        <v>0</v>
      </c>
      <c r="P73" s="72">
        <f t="shared" si="35"/>
        <v>1173193</v>
      </c>
      <c r="Q73" s="74">
        <v>0</v>
      </c>
      <c r="R73" s="95">
        <f t="shared" si="23"/>
        <v>0</v>
      </c>
      <c r="S73" s="93">
        <f t="shared" si="13"/>
        <v>471038</v>
      </c>
      <c r="T73" s="94">
        <f t="shared" si="22"/>
        <v>0.67084618068660051</v>
      </c>
      <c r="U73" s="104">
        <f t="shared" si="14"/>
        <v>471038</v>
      </c>
      <c r="X73" s="189">
        <v>586263</v>
      </c>
      <c r="Y73" s="189"/>
      <c r="Z73" s="159">
        <f t="shared" si="36"/>
        <v>586263</v>
      </c>
      <c r="AB73" s="189">
        <v>701746</v>
      </c>
      <c r="AC73" s="189"/>
      <c r="AD73" s="189">
        <v>409</v>
      </c>
      <c r="AE73" s="159">
        <f t="shared" si="37"/>
        <v>702155</v>
      </c>
    </row>
    <row r="74" spans="1:31" x14ac:dyDescent="0.2">
      <c r="A74" s="5"/>
      <c r="B74" s="85">
        <v>2973</v>
      </c>
      <c r="C74" s="10" t="s">
        <v>63</v>
      </c>
      <c r="D74" s="134">
        <f t="shared" si="25"/>
        <v>490430</v>
      </c>
      <c r="E74" s="134">
        <f t="shared" si="26"/>
        <v>0</v>
      </c>
      <c r="F74" s="134">
        <f t="shared" si="27"/>
        <v>110</v>
      </c>
      <c r="G74" s="39">
        <f t="shared" si="28"/>
        <v>490540</v>
      </c>
      <c r="H74" s="71">
        <f t="shared" si="29"/>
        <v>300731</v>
      </c>
      <c r="I74" s="72">
        <f t="shared" si="30"/>
        <v>791271</v>
      </c>
      <c r="J74" s="71">
        <v>288772</v>
      </c>
      <c r="K74" s="39">
        <f t="shared" si="31"/>
        <v>502499</v>
      </c>
      <c r="L74" s="39">
        <f t="shared" si="32"/>
        <v>0</v>
      </c>
      <c r="M74" s="39">
        <f t="shared" si="33"/>
        <v>502499</v>
      </c>
      <c r="N74" s="72">
        <f t="shared" si="34"/>
        <v>791271</v>
      </c>
      <c r="O74" s="72">
        <v>0</v>
      </c>
      <c r="P74" s="72">
        <f t="shared" si="35"/>
        <v>791271</v>
      </c>
      <c r="Q74" s="74">
        <v>0</v>
      </c>
      <c r="R74" s="95">
        <f t="shared" si="23"/>
        <v>0</v>
      </c>
      <c r="S74" s="93">
        <f t="shared" si="13"/>
        <v>300731</v>
      </c>
      <c r="T74" s="94">
        <f t="shared" si="22"/>
        <v>0.6130611163207893</v>
      </c>
      <c r="U74" s="104">
        <f t="shared" si="14"/>
        <v>300731</v>
      </c>
      <c r="X74" s="189">
        <v>502499</v>
      </c>
      <c r="Y74" s="189"/>
      <c r="Z74" s="159">
        <f t="shared" si="36"/>
        <v>502499</v>
      </c>
      <c r="AB74" s="189">
        <v>490430</v>
      </c>
      <c r="AC74" s="189"/>
      <c r="AD74" s="189">
        <v>110</v>
      </c>
      <c r="AE74" s="159">
        <f t="shared" si="37"/>
        <v>490540</v>
      </c>
    </row>
    <row r="75" spans="1:31" x14ac:dyDescent="0.2">
      <c r="A75" s="5"/>
      <c r="B75" s="85">
        <v>2974</v>
      </c>
      <c r="C75" s="10" t="s">
        <v>64</v>
      </c>
      <c r="D75" s="134">
        <f t="shared" si="25"/>
        <v>24772</v>
      </c>
      <c r="E75" s="134">
        <f t="shared" si="26"/>
        <v>0</v>
      </c>
      <c r="F75" s="134">
        <f t="shared" si="27"/>
        <v>0</v>
      </c>
      <c r="G75" s="39">
        <f t="shared" si="28"/>
        <v>24772</v>
      </c>
      <c r="H75" s="71">
        <f t="shared" si="29"/>
        <v>854</v>
      </c>
      <c r="I75" s="72">
        <f t="shared" si="30"/>
        <v>25626</v>
      </c>
      <c r="J75" s="71">
        <v>626</v>
      </c>
      <c r="K75" s="39">
        <f t="shared" si="31"/>
        <v>25000</v>
      </c>
      <c r="L75" s="39">
        <f t="shared" si="32"/>
        <v>0</v>
      </c>
      <c r="M75" s="39">
        <f t="shared" si="33"/>
        <v>25000</v>
      </c>
      <c r="N75" s="72">
        <f t="shared" si="34"/>
        <v>25626</v>
      </c>
      <c r="O75" s="72">
        <v>0</v>
      </c>
      <c r="P75" s="72">
        <f t="shared" si="35"/>
        <v>25626</v>
      </c>
      <c r="Q75" s="74">
        <v>0</v>
      </c>
      <c r="R75" s="95">
        <f t="shared" si="23"/>
        <v>0</v>
      </c>
      <c r="S75" s="93">
        <f t="shared" si="13"/>
        <v>854</v>
      </c>
      <c r="T75" s="94">
        <f t="shared" si="22"/>
        <v>3.4474406588083317E-2</v>
      </c>
      <c r="U75" s="104">
        <f t="shared" si="14"/>
        <v>854</v>
      </c>
      <c r="X75" s="189">
        <v>25000</v>
      </c>
      <c r="Y75" s="189"/>
      <c r="Z75" s="159">
        <f t="shared" si="36"/>
        <v>25000</v>
      </c>
      <c r="AB75" s="189">
        <v>24772</v>
      </c>
      <c r="AC75" s="189"/>
      <c r="AD75" s="189">
        <v>0</v>
      </c>
      <c r="AE75" s="159">
        <f t="shared" si="37"/>
        <v>24772</v>
      </c>
    </row>
    <row r="76" spans="1:31" x14ac:dyDescent="0.2">
      <c r="A76" s="5"/>
      <c r="B76" s="85">
        <v>2975</v>
      </c>
      <c r="C76" s="10" t="s">
        <v>65</v>
      </c>
      <c r="D76" s="134">
        <f t="shared" si="25"/>
        <v>98291</v>
      </c>
      <c r="E76" s="134">
        <f t="shared" si="26"/>
        <v>0</v>
      </c>
      <c r="F76" s="134">
        <f t="shared" si="27"/>
        <v>0</v>
      </c>
      <c r="G76" s="39">
        <f t="shared" si="28"/>
        <v>98291</v>
      </c>
      <c r="H76" s="71">
        <f t="shared" si="29"/>
        <v>37746</v>
      </c>
      <c r="I76" s="72">
        <f t="shared" si="30"/>
        <v>136037</v>
      </c>
      <c r="J76" s="71">
        <v>37095</v>
      </c>
      <c r="K76" s="39">
        <f t="shared" si="31"/>
        <v>90942</v>
      </c>
      <c r="L76" s="39">
        <f t="shared" si="32"/>
        <v>8000</v>
      </c>
      <c r="M76" s="39">
        <f t="shared" si="33"/>
        <v>98942</v>
      </c>
      <c r="N76" s="72">
        <f t="shared" si="34"/>
        <v>136037</v>
      </c>
      <c r="O76" s="72">
        <v>0</v>
      </c>
      <c r="P76" s="72">
        <f t="shared" si="35"/>
        <v>136037</v>
      </c>
      <c r="Q76" s="74">
        <v>0</v>
      </c>
      <c r="R76" s="95">
        <f t="shared" si="23"/>
        <v>0</v>
      </c>
      <c r="S76" s="93">
        <f t="shared" si="13"/>
        <v>37746</v>
      </c>
      <c r="T76" s="94">
        <f t="shared" si="22"/>
        <v>0.38402295225402122</v>
      </c>
      <c r="U76" s="104">
        <f t="shared" si="14"/>
        <v>37746</v>
      </c>
      <c r="X76" s="189">
        <v>90942</v>
      </c>
      <c r="Y76" s="189">
        <v>8000</v>
      </c>
      <c r="Z76" s="159">
        <f t="shared" si="36"/>
        <v>98942</v>
      </c>
      <c r="AB76" s="189">
        <v>98291</v>
      </c>
      <c r="AC76" s="189"/>
      <c r="AD76" s="189">
        <v>0</v>
      </c>
      <c r="AE76" s="159">
        <f t="shared" si="37"/>
        <v>98291</v>
      </c>
    </row>
    <row r="77" spans="1:31" x14ac:dyDescent="0.2">
      <c r="A77" s="5"/>
      <c r="B77" s="85">
        <v>2976</v>
      </c>
      <c r="C77" s="10" t="s">
        <v>66</v>
      </c>
      <c r="D77" s="134">
        <f t="shared" si="25"/>
        <v>44605</v>
      </c>
      <c r="E77" s="134">
        <f t="shared" si="26"/>
        <v>0</v>
      </c>
      <c r="F77" s="134">
        <f t="shared" si="27"/>
        <v>185</v>
      </c>
      <c r="G77" s="39">
        <f t="shared" si="28"/>
        <v>44790</v>
      </c>
      <c r="H77" s="71">
        <f t="shared" si="29"/>
        <v>-167527</v>
      </c>
      <c r="I77" s="72">
        <f t="shared" si="30"/>
        <v>-122737</v>
      </c>
      <c r="J77" s="71">
        <v>-167914</v>
      </c>
      <c r="K77" s="39">
        <f t="shared" si="31"/>
        <v>45177</v>
      </c>
      <c r="L77" s="39">
        <f t="shared" si="32"/>
        <v>0</v>
      </c>
      <c r="M77" s="39">
        <f t="shared" si="33"/>
        <v>45177</v>
      </c>
      <c r="N77" s="72">
        <f t="shared" si="34"/>
        <v>-122737</v>
      </c>
      <c r="O77" s="72">
        <v>0</v>
      </c>
      <c r="P77" s="72">
        <f t="shared" si="35"/>
        <v>-122737</v>
      </c>
      <c r="Q77" s="74">
        <v>0</v>
      </c>
      <c r="R77" s="95">
        <f t="shared" si="23"/>
        <v>0</v>
      </c>
      <c r="S77" s="93">
        <f t="shared" si="13"/>
        <v>-167527</v>
      </c>
      <c r="T77" s="94">
        <f t="shared" si="22"/>
        <v>-3.740276847510605</v>
      </c>
      <c r="U77" s="104">
        <f t="shared" si="14"/>
        <v>-167527</v>
      </c>
      <c r="X77" s="189">
        <v>45177</v>
      </c>
      <c r="Y77" s="189"/>
      <c r="Z77" s="159">
        <f t="shared" si="36"/>
        <v>45177</v>
      </c>
      <c r="AB77" s="189">
        <v>44605</v>
      </c>
      <c r="AC77" s="189"/>
      <c r="AD77" s="189">
        <v>185</v>
      </c>
      <c r="AE77" s="159">
        <f t="shared" si="37"/>
        <v>44790</v>
      </c>
    </row>
    <row r="78" spans="1:31" x14ac:dyDescent="0.2">
      <c r="A78" s="5"/>
      <c r="B78" s="85">
        <v>2977</v>
      </c>
      <c r="C78" s="73" t="s">
        <v>286</v>
      </c>
      <c r="D78" s="134">
        <f t="shared" si="25"/>
        <v>268418</v>
      </c>
      <c r="E78" s="134">
        <f t="shared" si="26"/>
        <v>0</v>
      </c>
      <c r="F78" s="134">
        <f t="shared" si="27"/>
        <v>740</v>
      </c>
      <c r="G78" s="39">
        <f t="shared" si="28"/>
        <v>269158</v>
      </c>
      <c r="H78" s="71">
        <f t="shared" si="29"/>
        <v>91131</v>
      </c>
      <c r="I78" s="72">
        <f t="shared" si="30"/>
        <v>360289</v>
      </c>
      <c r="J78" s="71">
        <v>88434</v>
      </c>
      <c r="K78" s="39">
        <f t="shared" si="31"/>
        <v>271855</v>
      </c>
      <c r="L78" s="39">
        <f t="shared" si="32"/>
        <v>0</v>
      </c>
      <c r="M78" s="39">
        <f t="shared" si="33"/>
        <v>271855</v>
      </c>
      <c r="N78" s="72">
        <f t="shared" si="34"/>
        <v>360289</v>
      </c>
      <c r="O78" s="72">
        <v>0</v>
      </c>
      <c r="P78" s="72">
        <f t="shared" si="35"/>
        <v>360289</v>
      </c>
      <c r="Q78" s="74">
        <v>0</v>
      </c>
      <c r="R78" s="95">
        <f t="shared" si="23"/>
        <v>0</v>
      </c>
      <c r="S78" s="93">
        <f t="shared" si="13"/>
        <v>91131</v>
      </c>
      <c r="T78" s="94">
        <f t="shared" si="22"/>
        <v>0.33857808424791386</v>
      </c>
      <c r="U78" s="104">
        <f t="shared" si="14"/>
        <v>91131</v>
      </c>
      <c r="X78" s="189">
        <v>271855</v>
      </c>
      <c r="Y78" s="189"/>
      <c r="Z78" s="159">
        <f t="shared" si="36"/>
        <v>271855</v>
      </c>
      <c r="AB78" s="189">
        <v>268418</v>
      </c>
      <c r="AC78" s="189"/>
      <c r="AD78" s="189">
        <v>740</v>
      </c>
      <c r="AE78" s="159">
        <f t="shared" si="37"/>
        <v>269158</v>
      </c>
    </row>
    <row r="79" spans="1:31" hidden="1" x14ac:dyDescent="0.2">
      <c r="A79" s="5"/>
      <c r="B79" s="85">
        <v>2978</v>
      </c>
      <c r="C79" s="10" t="s">
        <v>67</v>
      </c>
      <c r="D79" s="134">
        <f t="shared" si="25"/>
        <v>0</v>
      </c>
      <c r="E79" s="134">
        <f t="shared" si="26"/>
        <v>0</v>
      </c>
      <c r="F79" s="134">
        <f t="shared" si="27"/>
        <v>0</v>
      </c>
      <c r="G79" s="39">
        <f t="shared" si="28"/>
        <v>0</v>
      </c>
      <c r="H79" s="71">
        <f t="shared" si="29"/>
        <v>0</v>
      </c>
      <c r="I79" s="72">
        <f t="shared" si="30"/>
        <v>0</v>
      </c>
      <c r="J79" s="71">
        <v>0</v>
      </c>
      <c r="K79" s="39">
        <f t="shared" si="31"/>
        <v>0</v>
      </c>
      <c r="L79" s="39">
        <f t="shared" si="32"/>
        <v>0</v>
      </c>
      <c r="M79" s="39">
        <f t="shared" si="33"/>
        <v>0</v>
      </c>
      <c r="N79" s="72">
        <f t="shared" si="34"/>
        <v>0</v>
      </c>
      <c r="O79" s="72">
        <v>0</v>
      </c>
      <c r="P79" s="72">
        <f t="shared" si="35"/>
        <v>0</v>
      </c>
      <c r="Q79" s="74">
        <v>0</v>
      </c>
      <c r="R79" s="95">
        <f t="shared" si="23"/>
        <v>0</v>
      </c>
      <c r="S79" s="93">
        <f t="shared" si="13"/>
        <v>0</v>
      </c>
      <c r="T79" s="94" t="e">
        <f t="shared" si="22"/>
        <v>#DIV/0!</v>
      </c>
      <c r="U79" s="104">
        <f t="shared" si="14"/>
        <v>0</v>
      </c>
      <c r="X79" s="189"/>
      <c r="Y79" s="189"/>
      <c r="Z79" s="159">
        <f t="shared" si="36"/>
        <v>0</v>
      </c>
      <c r="AB79" s="189"/>
      <c r="AC79" s="189"/>
      <c r="AD79" s="189"/>
      <c r="AE79" s="159">
        <f t="shared" si="37"/>
        <v>0</v>
      </c>
    </row>
    <row r="80" spans="1:31" x14ac:dyDescent="0.2">
      <c r="A80" s="5"/>
      <c r="B80" s="85">
        <v>2979</v>
      </c>
      <c r="C80" s="10" t="s">
        <v>68</v>
      </c>
      <c r="D80" s="134">
        <f t="shared" si="25"/>
        <v>50144</v>
      </c>
      <c r="E80" s="134">
        <f t="shared" si="26"/>
        <v>0</v>
      </c>
      <c r="F80" s="134">
        <f t="shared" si="27"/>
        <v>185</v>
      </c>
      <c r="G80" s="39">
        <f t="shared" si="28"/>
        <v>50329</v>
      </c>
      <c r="H80" s="71">
        <f t="shared" si="29"/>
        <v>129373</v>
      </c>
      <c r="I80" s="72">
        <f t="shared" si="30"/>
        <v>179702</v>
      </c>
      <c r="J80" s="71">
        <v>128989</v>
      </c>
      <c r="K80" s="39">
        <f t="shared" si="31"/>
        <v>50713</v>
      </c>
      <c r="L80" s="39">
        <f t="shared" si="32"/>
        <v>0</v>
      </c>
      <c r="M80" s="39">
        <f t="shared" si="33"/>
        <v>50713</v>
      </c>
      <c r="N80" s="72">
        <f t="shared" si="34"/>
        <v>179702</v>
      </c>
      <c r="O80" s="72">
        <v>0</v>
      </c>
      <c r="P80" s="72">
        <f t="shared" si="35"/>
        <v>179702</v>
      </c>
      <c r="Q80" s="74">
        <v>0</v>
      </c>
      <c r="R80" s="11">
        <f t="shared" si="23"/>
        <v>0</v>
      </c>
      <c r="S80" s="93">
        <f t="shared" si="13"/>
        <v>129373</v>
      </c>
      <c r="T80" s="94">
        <f t="shared" si="22"/>
        <v>2.5705458085795465</v>
      </c>
      <c r="U80" s="104">
        <f t="shared" si="14"/>
        <v>129373</v>
      </c>
      <c r="X80" s="189">
        <v>50713</v>
      </c>
      <c r="Y80" s="189"/>
      <c r="Z80" s="159">
        <f t="shared" si="36"/>
        <v>50713</v>
      </c>
      <c r="AB80" s="189">
        <v>50144</v>
      </c>
      <c r="AC80" s="189"/>
      <c r="AD80" s="189">
        <v>185</v>
      </c>
      <c r="AE80" s="159">
        <f t="shared" si="37"/>
        <v>50329</v>
      </c>
    </row>
    <row r="81" spans="1:31" x14ac:dyDescent="0.2">
      <c r="A81" s="5"/>
      <c r="B81" s="85">
        <v>2980</v>
      </c>
      <c r="C81" s="10" t="s">
        <v>69</v>
      </c>
      <c r="D81" s="134">
        <f t="shared" si="25"/>
        <v>0</v>
      </c>
      <c r="E81" s="134">
        <f t="shared" si="26"/>
        <v>0</v>
      </c>
      <c r="F81" s="134">
        <f t="shared" si="27"/>
        <v>0</v>
      </c>
      <c r="G81" s="39">
        <f t="shared" si="28"/>
        <v>0</v>
      </c>
      <c r="H81" s="71">
        <f t="shared" si="29"/>
        <v>18041</v>
      </c>
      <c r="I81" s="72">
        <f t="shared" si="30"/>
        <v>18041</v>
      </c>
      <c r="J81" s="71">
        <v>18041</v>
      </c>
      <c r="K81" s="39">
        <f t="shared" si="31"/>
        <v>0</v>
      </c>
      <c r="L81" s="39">
        <f t="shared" si="32"/>
        <v>0</v>
      </c>
      <c r="M81" s="39">
        <f t="shared" si="33"/>
        <v>0</v>
      </c>
      <c r="N81" s="72">
        <f t="shared" si="34"/>
        <v>18041</v>
      </c>
      <c r="O81" s="72">
        <v>0</v>
      </c>
      <c r="P81" s="72">
        <f t="shared" si="35"/>
        <v>18041</v>
      </c>
      <c r="Q81" s="74">
        <v>0</v>
      </c>
      <c r="R81" s="11">
        <f t="shared" si="23"/>
        <v>0</v>
      </c>
      <c r="S81" s="93">
        <f t="shared" ref="S81:S149" si="38">+P81-G81</f>
        <v>18041</v>
      </c>
      <c r="T81" s="94" t="e">
        <f t="shared" si="22"/>
        <v>#DIV/0!</v>
      </c>
      <c r="U81" s="104">
        <f t="shared" si="14"/>
        <v>18041</v>
      </c>
      <c r="X81" s="189"/>
      <c r="Y81" s="189"/>
      <c r="Z81" s="159">
        <f t="shared" si="36"/>
        <v>0</v>
      </c>
      <c r="AB81" s="189"/>
      <c r="AC81" s="189"/>
      <c r="AD81" s="189"/>
      <c r="AE81" s="159">
        <f t="shared" si="37"/>
        <v>0</v>
      </c>
    </row>
    <row r="82" spans="1:31" hidden="1" x14ac:dyDescent="0.2">
      <c r="A82" s="5"/>
      <c r="B82" s="85">
        <v>2981</v>
      </c>
      <c r="C82" s="10" t="s">
        <v>70</v>
      </c>
      <c r="D82" s="134">
        <f t="shared" si="25"/>
        <v>0</v>
      </c>
      <c r="E82" s="134">
        <f t="shared" si="26"/>
        <v>0</v>
      </c>
      <c r="F82" s="134">
        <f t="shared" si="27"/>
        <v>0</v>
      </c>
      <c r="G82" s="39">
        <f t="shared" si="28"/>
        <v>0</v>
      </c>
      <c r="H82" s="71">
        <f t="shared" si="29"/>
        <v>0</v>
      </c>
      <c r="I82" s="72">
        <f t="shared" si="30"/>
        <v>0</v>
      </c>
      <c r="J82" s="71">
        <v>0</v>
      </c>
      <c r="K82" s="39">
        <f t="shared" si="31"/>
        <v>0</v>
      </c>
      <c r="L82" s="39">
        <f t="shared" si="32"/>
        <v>0</v>
      </c>
      <c r="M82" s="39">
        <f t="shared" si="33"/>
        <v>0</v>
      </c>
      <c r="N82" s="72">
        <f t="shared" si="34"/>
        <v>0</v>
      </c>
      <c r="O82" s="72">
        <v>0</v>
      </c>
      <c r="P82" s="72">
        <f t="shared" si="35"/>
        <v>0</v>
      </c>
      <c r="Q82" s="74">
        <v>0</v>
      </c>
      <c r="R82" s="11">
        <f t="shared" si="23"/>
        <v>0</v>
      </c>
      <c r="S82" s="93">
        <f t="shared" si="38"/>
        <v>0</v>
      </c>
      <c r="T82" s="94" t="e">
        <f t="shared" si="22"/>
        <v>#DIV/0!</v>
      </c>
      <c r="U82" s="104">
        <f t="shared" si="14"/>
        <v>0</v>
      </c>
      <c r="X82" s="189"/>
      <c r="Y82" s="189"/>
      <c r="Z82" s="159">
        <f t="shared" si="36"/>
        <v>0</v>
      </c>
      <c r="AB82" s="189"/>
      <c r="AC82" s="189"/>
      <c r="AD82" s="189"/>
      <c r="AE82" s="159">
        <f t="shared" si="37"/>
        <v>0</v>
      </c>
    </row>
    <row r="83" spans="1:31" x14ac:dyDescent="0.2">
      <c r="A83" s="5"/>
      <c r="B83" s="85">
        <v>2982</v>
      </c>
      <c r="C83" s="10" t="s">
        <v>100</v>
      </c>
      <c r="D83" s="134">
        <f t="shared" si="25"/>
        <v>227570</v>
      </c>
      <c r="E83" s="134">
        <f t="shared" si="26"/>
        <v>0</v>
      </c>
      <c r="F83" s="134">
        <f t="shared" si="27"/>
        <v>0</v>
      </c>
      <c r="G83" s="39">
        <f t="shared" si="28"/>
        <v>227570</v>
      </c>
      <c r="H83" s="71">
        <f t="shared" si="29"/>
        <v>246532</v>
      </c>
      <c r="I83" s="72">
        <f t="shared" si="30"/>
        <v>474102</v>
      </c>
      <c r="J83" s="71">
        <v>339031</v>
      </c>
      <c r="K83" s="39">
        <f t="shared" si="31"/>
        <v>135071</v>
      </c>
      <c r="L83" s="39">
        <f t="shared" si="32"/>
        <v>0</v>
      </c>
      <c r="M83" s="39">
        <f t="shared" si="33"/>
        <v>135071</v>
      </c>
      <c r="N83" s="72">
        <f t="shared" si="34"/>
        <v>474102</v>
      </c>
      <c r="O83" s="72">
        <v>0</v>
      </c>
      <c r="P83" s="72">
        <f t="shared" si="35"/>
        <v>474102</v>
      </c>
      <c r="Q83" s="74">
        <v>0</v>
      </c>
      <c r="R83" s="11">
        <f t="shared" si="23"/>
        <v>0</v>
      </c>
      <c r="S83" s="93">
        <f t="shared" si="38"/>
        <v>246532</v>
      </c>
      <c r="T83" s="94">
        <f t="shared" si="22"/>
        <v>1.0833238124533111</v>
      </c>
      <c r="U83" s="104">
        <f t="shared" si="14"/>
        <v>246532</v>
      </c>
      <c r="X83" s="189">
        <v>135071</v>
      </c>
      <c r="Y83" s="189"/>
      <c r="Z83" s="159">
        <f t="shared" si="36"/>
        <v>135071</v>
      </c>
      <c r="AB83" s="189">
        <v>227570</v>
      </c>
      <c r="AC83" s="189"/>
      <c r="AD83" s="189"/>
      <c r="AE83" s="159">
        <f t="shared" si="37"/>
        <v>227570</v>
      </c>
    </row>
    <row r="84" spans="1:31" x14ac:dyDescent="0.2">
      <c r="A84" s="5"/>
      <c r="B84" s="85">
        <v>2983</v>
      </c>
      <c r="C84" s="10" t="s">
        <v>101</v>
      </c>
      <c r="D84" s="134">
        <f t="shared" si="25"/>
        <v>1021535</v>
      </c>
      <c r="E84" s="134">
        <f t="shared" si="26"/>
        <v>6831</v>
      </c>
      <c r="F84" s="134">
        <f t="shared" si="27"/>
        <v>0</v>
      </c>
      <c r="G84" s="39">
        <f t="shared" si="28"/>
        <v>1028366</v>
      </c>
      <c r="H84" s="71">
        <f t="shared" si="29"/>
        <v>382818</v>
      </c>
      <c r="I84" s="72">
        <f t="shared" si="30"/>
        <v>1411184</v>
      </c>
      <c r="J84" s="71">
        <v>626640</v>
      </c>
      <c r="K84" s="39">
        <f t="shared" si="31"/>
        <v>784544</v>
      </c>
      <c r="L84" s="39">
        <f t="shared" si="32"/>
        <v>0</v>
      </c>
      <c r="M84" s="39">
        <f t="shared" si="33"/>
        <v>784544</v>
      </c>
      <c r="N84" s="72">
        <f t="shared" si="34"/>
        <v>1411184</v>
      </c>
      <c r="O84" s="72">
        <v>0</v>
      </c>
      <c r="P84" s="72">
        <f t="shared" si="35"/>
        <v>1411184</v>
      </c>
      <c r="Q84" s="74">
        <v>0</v>
      </c>
      <c r="R84" s="11">
        <f t="shared" si="23"/>
        <v>0</v>
      </c>
      <c r="S84" s="93">
        <f t="shared" si="38"/>
        <v>382818</v>
      </c>
      <c r="T84" s="94">
        <f t="shared" si="22"/>
        <v>0.37225851496451651</v>
      </c>
      <c r="U84" s="104">
        <f t="shared" si="14"/>
        <v>382818</v>
      </c>
      <c r="X84" s="189">
        <v>784544</v>
      </c>
      <c r="Y84" s="189"/>
      <c r="Z84" s="159">
        <f t="shared" si="36"/>
        <v>784544</v>
      </c>
      <c r="AB84" s="189">
        <v>1021535</v>
      </c>
      <c r="AC84" s="189">
        <v>6831</v>
      </c>
      <c r="AD84" s="189"/>
      <c r="AE84" s="159">
        <f t="shared" si="37"/>
        <v>1028366</v>
      </c>
    </row>
    <row r="85" spans="1:31" hidden="1" x14ac:dyDescent="0.2">
      <c r="A85" s="5"/>
      <c r="B85" s="85">
        <v>2985</v>
      </c>
      <c r="C85" s="10" t="s">
        <v>29</v>
      </c>
      <c r="D85" s="134">
        <f t="shared" si="25"/>
        <v>0</v>
      </c>
      <c r="E85" s="134">
        <f t="shared" si="26"/>
        <v>0</v>
      </c>
      <c r="F85" s="134">
        <f t="shared" si="27"/>
        <v>0</v>
      </c>
      <c r="G85" s="39">
        <f t="shared" si="28"/>
        <v>0</v>
      </c>
      <c r="H85" s="71">
        <f t="shared" si="29"/>
        <v>0</v>
      </c>
      <c r="I85" s="72">
        <f t="shared" si="30"/>
        <v>0</v>
      </c>
      <c r="J85" s="71">
        <v>0</v>
      </c>
      <c r="K85" s="39">
        <f t="shared" si="31"/>
        <v>0</v>
      </c>
      <c r="L85" s="39">
        <f t="shared" si="32"/>
        <v>0</v>
      </c>
      <c r="M85" s="39">
        <f t="shared" si="33"/>
        <v>0</v>
      </c>
      <c r="N85" s="72">
        <f t="shared" si="34"/>
        <v>0</v>
      </c>
      <c r="O85" s="72">
        <v>0</v>
      </c>
      <c r="P85" s="72">
        <f t="shared" si="35"/>
        <v>0</v>
      </c>
      <c r="Q85" s="74">
        <v>0</v>
      </c>
      <c r="R85" s="11">
        <f t="shared" ref="R85:R135" si="39">I85-P85</f>
        <v>0</v>
      </c>
      <c r="S85" s="93">
        <f t="shared" si="38"/>
        <v>0</v>
      </c>
      <c r="T85" s="94" t="e">
        <f t="shared" si="22"/>
        <v>#DIV/0!</v>
      </c>
      <c r="U85" s="104">
        <f t="shared" si="14"/>
        <v>0</v>
      </c>
      <c r="X85" s="189"/>
      <c r="Y85" s="189"/>
      <c r="Z85" s="159">
        <f t="shared" si="36"/>
        <v>0</v>
      </c>
      <c r="AB85" s="189"/>
      <c r="AC85" s="189"/>
      <c r="AD85" s="189"/>
      <c r="AE85" s="159">
        <f t="shared" si="37"/>
        <v>0</v>
      </c>
    </row>
    <row r="86" spans="1:31" x14ac:dyDescent="0.2">
      <c r="A86" s="5"/>
      <c r="B86" s="85">
        <v>2986</v>
      </c>
      <c r="C86" s="10" t="s">
        <v>102</v>
      </c>
      <c r="D86" s="134">
        <f t="shared" si="25"/>
        <v>36470</v>
      </c>
      <c r="E86" s="134">
        <f t="shared" si="26"/>
        <v>0</v>
      </c>
      <c r="F86" s="134">
        <f t="shared" si="27"/>
        <v>0</v>
      </c>
      <c r="G86" s="39">
        <f t="shared" si="28"/>
        <v>36470</v>
      </c>
      <c r="H86" s="71">
        <f t="shared" si="29"/>
        <v>65418</v>
      </c>
      <c r="I86" s="72">
        <f t="shared" si="30"/>
        <v>101888</v>
      </c>
      <c r="J86" s="71">
        <v>65688</v>
      </c>
      <c r="K86" s="39">
        <f t="shared" si="31"/>
        <v>29000</v>
      </c>
      <c r="L86" s="39">
        <f t="shared" si="32"/>
        <v>7200</v>
      </c>
      <c r="M86" s="39">
        <f t="shared" si="33"/>
        <v>36200</v>
      </c>
      <c r="N86" s="72">
        <f t="shared" si="34"/>
        <v>101888</v>
      </c>
      <c r="O86" s="72">
        <v>0</v>
      </c>
      <c r="P86" s="72">
        <f t="shared" si="35"/>
        <v>101888</v>
      </c>
      <c r="Q86" s="74">
        <v>0</v>
      </c>
      <c r="R86" s="95">
        <f t="shared" si="39"/>
        <v>0</v>
      </c>
      <c r="S86" s="93">
        <f t="shared" si="38"/>
        <v>65418</v>
      </c>
      <c r="T86" s="94">
        <f t="shared" si="22"/>
        <v>1.7937482862626817</v>
      </c>
      <c r="U86" s="104">
        <f t="shared" si="14"/>
        <v>65418</v>
      </c>
      <c r="X86" s="189">
        <v>29000</v>
      </c>
      <c r="Y86" s="189">
        <v>7200</v>
      </c>
      <c r="Z86" s="159">
        <f t="shared" si="36"/>
        <v>36200</v>
      </c>
      <c r="AB86" s="189">
        <v>36470</v>
      </c>
      <c r="AC86" s="189"/>
      <c r="AD86" s="189"/>
      <c r="AE86" s="159">
        <f t="shared" si="37"/>
        <v>36470</v>
      </c>
    </row>
    <row r="87" spans="1:31" x14ac:dyDescent="0.2">
      <c r="A87" s="5"/>
      <c r="B87" s="85">
        <v>2987</v>
      </c>
      <c r="C87" s="10" t="s">
        <v>103</v>
      </c>
      <c r="D87" s="134">
        <f t="shared" si="25"/>
        <v>2760</v>
      </c>
      <c r="E87" s="134">
        <f t="shared" si="26"/>
        <v>0</v>
      </c>
      <c r="F87" s="134">
        <f t="shared" si="27"/>
        <v>0</v>
      </c>
      <c r="G87" s="39">
        <f t="shared" si="28"/>
        <v>2760</v>
      </c>
      <c r="H87" s="71">
        <f t="shared" si="29"/>
        <v>20932</v>
      </c>
      <c r="I87" s="72">
        <f t="shared" si="30"/>
        <v>23692</v>
      </c>
      <c r="J87" s="71">
        <v>23692</v>
      </c>
      <c r="K87" s="39">
        <f t="shared" si="31"/>
        <v>0</v>
      </c>
      <c r="L87" s="39">
        <f t="shared" si="32"/>
        <v>0</v>
      </c>
      <c r="M87" s="39">
        <f t="shared" si="33"/>
        <v>0</v>
      </c>
      <c r="N87" s="72">
        <f t="shared" si="34"/>
        <v>23692</v>
      </c>
      <c r="O87" s="72">
        <v>0</v>
      </c>
      <c r="P87" s="72">
        <f t="shared" si="35"/>
        <v>23692</v>
      </c>
      <c r="Q87" s="74">
        <v>0</v>
      </c>
      <c r="R87" s="11"/>
      <c r="S87" s="93">
        <f t="shared" si="38"/>
        <v>20932</v>
      </c>
      <c r="T87" s="94">
        <f t="shared" si="22"/>
        <v>7.5840579710144924</v>
      </c>
      <c r="U87" s="104">
        <f t="shared" ref="U87:U171" si="40">+P87-G87</f>
        <v>20932</v>
      </c>
      <c r="X87" s="189"/>
      <c r="Y87" s="189"/>
      <c r="Z87" s="159">
        <f t="shared" si="36"/>
        <v>0</v>
      </c>
      <c r="AB87" s="189">
        <v>2760</v>
      </c>
      <c r="AC87" s="189"/>
      <c r="AD87" s="189"/>
      <c r="AE87" s="159">
        <f t="shared" si="37"/>
        <v>2760</v>
      </c>
    </row>
    <row r="88" spans="1:31" x14ac:dyDescent="0.2">
      <c r="A88" s="5"/>
      <c r="B88" s="85">
        <v>2988</v>
      </c>
      <c r="C88" s="10" t="s">
        <v>104</v>
      </c>
      <c r="D88" s="134">
        <f t="shared" si="25"/>
        <v>0</v>
      </c>
      <c r="E88" s="134">
        <f t="shared" si="26"/>
        <v>0</v>
      </c>
      <c r="F88" s="134">
        <f t="shared" si="27"/>
        <v>0</v>
      </c>
      <c r="G88" s="39">
        <f t="shared" si="28"/>
        <v>0</v>
      </c>
      <c r="H88" s="71">
        <f t="shared" si="29"/>
        <v>0</v>
      </c>
      <c r="I88" s="72">
        <f t="shared" si="30"/>
        <v>0</v>
      </c>
      <c r="J88" s="71">
        <v>0</v>
      </c>
      <c r="K88" s="39">
        <f t="shared" si="31"/>
        <v>0</v>
      </c>
      <c r="L88" s="39">
        <f t="shared" si="32"/>
        <v>0</v>
      </c>
      <c r="M88" s="39">
        <f t="shared" si="33"/>
        <v>0</v>
      </c>
      <c r="N88" s="72">
        <f t="shared" si="34"/>
        <v>0</v>
      </c>
      <c r="O88" s="72">
        <v>0</v>
      </c>
      <c r="P88" s="72">
        <f t="shared" si="35"/>
        <v>0</v>
      </c>
      <c r="Q88" s="74">
        <v>0</v>
      </c>
      <c r="R88" s="11">
        <f t="shared" si="39"/>
        <v>0</v>
      </c>
      <c r="S88" s="93">
        <f t="shared" si="38"/>
        <v>0</v>
      </c>
      <c r="T88" s="94" t="e">
        <f t="shared" si="22"/>
        <v>#DIV/0!</v>
      </c>
      <c r="U88" s="104">
        <f t="shared" si="40"/>
        <v>0</v>
      </c>
      <c r="X88" s="189"/>
      <c r="Y88" s="189"/>
      <c r="Z88" s="159">
        <f t="shared" si="36"/>
        <v>0</v>
      </c>
      <c r="AB88" s="189"/>
      <c r="AC88" s="189"/>
      <c r="AD88" s="189"/>
      <c r="AE88" s="159">
        <f t="shared" si="37"/>
        <v>0</v>
      </c>
    </row>
    <row r="89" spans="1:31" hidden="1" x14ac:dyDescent="0.2">
      <c r="A89" s="5"/>
      <c r="B89" s="85">
        <v>2989</v>
      </c>
      <c r="C89" s="73" t="s">
        <v>193</v>
      </c>
      <c r="D89" s="134">
        <f t="shared" si="25"/>
        <v>0</v>
      </c>
      <c r="E89" s="134">
        <f t="shared" si="26"/>
        <v>0</v>
      </c>
      <c r="F89" s="134">
        <f t="shared" si="27"/>
        <v>0</v>
      </c>
      <c r="G89" s="39">
        <f t="shared" si="28"/>
        <v>0</v>
      </c>
      <c r="H89" s="71">
        <f t="shared" si="29"/>
        <v>0</v>
      </c>
      <c r="I89" s="72">
        <f t="shared" si="30"/>
        <v>0</v>
      </c>
      <c r="J89" s="71">
        <v>0</v>
      </c>
      <c r="K89" s="39">
        <f t="shared" si="31"/>
        <v>0</v>
      </c>
      <c r="L89" s="39">
        <f t="shared" si="32"/>
        <v>0</v>
      </c>
      <c r="M89" s="39">
        <f t="shared" si="33"/>
        <v>0</v>
      </c>
      <c r="N89" s="72">
        <f t="shared" si="34"/>
        <v>0</v>
      </c>
      <c r="O89" s="72">
        <v>0</v>
      </c>
      <c r="P89" s="72">
        <f t="shared" si="35"/>
        <v>0</v>
      </c>
      <c r="Q89" s="74">
        <v>0</v>
      </c>
      <c r="R89" s="11">
        <f t="shared" ref="R89" si="41">I89-P89</f>
        <v>0</v>
      </c>
      <c r="S89" s="93">
        <f t="shared" si="38"/>
        <v>0</v>
      </c>
      <c r="T89" s="94" t="e">
        <f t="shared" si="22"/>
        <v>#DIV/0!</v>
      </c>
      <c r="U89" s="104">
        <f t="shared" si="40"/>
        <v>0</v>
      </c>
      <c r="X89" s="189"/>
      <c r="Y89" s="189"/>
      <c r="Z89" s="159">
        <f t="shared" si="36"/>
        <v>0</v>
      </c>
      <c r="AB89" s="189"/>
      <c r="AC89" s="189"/>
      <c r="AD89" s="189"/>
      <c r="AE89" s="159">
        <f t="shared" si="37"/>
        <v>0</v>
      </c>
    </row>
    <row r="90" spans="1:31" x14ac:dyDescent="0.2">
      <c r="A90" s="5"/>
      <c r="B90" s="85">
        <v>2991</v>
      </c>
      <c r="C90" s="73" t="s">
        <v>284</v>
      </c>
      <c r="D90" s="134">
        <f t="shared" si="25"/>
        <v>7600000</v>
      </c>
      <c r="E90" s="134">
        <f t="shared" si="26"/>
        <v>0</v>
      </c>
      <c r="F90" s="134">
        <f t="shared" si="27"/>
        <v>0</v>
      </c>
      <c r="G90" s="39">
        <f t="shared" si="28"/>
        <v>7600000</v>
      </c>
      <c r="H90" s="71">
        <f t="shared" si="29"/>
        <v>2798869</v>
      </c>
      <c r="I90" s="72">
        <f t="shared" si="30"/>
        <v>10398869</v>
      </c>
      <c r="J90" s="71">
        <v>10398869</v>
      </c>
      <c r="K90" s="39">
        <f t="shared" si="31"/>
        <v>0</v>
      </c>
      <c r="L90" s="39">
        <f t="shared" si="32"/>
        <v>0</v>
      </c>
      <c r="M90" s="39">
        <f t="shared" si="33"/>
        <v>0</v>
      </c>
      <c r="N90" s="72">
        <f t="shared" si="34"/>
        <v>10398869</v>
      </c>
      <c r="O90" s="72">
        <v>0</v>
      </c>
      <c r="P90" s="72">
        <f t="shared" si="35"/>
        <v>10398869</v>
      </c>
      <c r="Q90" s="74">
        <v>0</v>
      </c>
      <c r="R90" s="11"/>
      <c r="S90" s="93"/>
      <c r="T90" s="94"/>
      <c r="U90" s="104"/>
      <c r="X90" s="189"/>
      <c r="Y90" s="189"/>
      <c r="Z90" s="159">
        <f t="shared" si="36"/>
        <v>0</v>
      </c>
      <c r="AB90" s="189">
        <v>7600000</v>
      </c>
      <c r="AC90" s="189"/>
      <c r="AD90" s="189"/>
      <c r="AE90" s="159">
        <f t="shared" si="37"/>
        <v>7600000</v>
      </c>
    </row>
    <row r="91" spans="1:31" x14ac:dyDescent="0.2">
      <c r="A91" s="5"/>
      <c r="B91" s="75">
        <v>2992</v>
      </c>
      <c r="C91" s="73" t="s">
        <v>159</v>
      </c>
      <c r="D91" s="134">
        <f t="shared" si="25"/>
        <v>0</v>
      </c>
      <c r="E91" s="134">
        <f t="shared" si="26"/>
        <v>0</v>
      </c>
      <c r="F91" s="134">
        <f t="shared" si="27"/>
        <v>0</v>
      </c>
      <c r="G91" s="39">
        <f t="shared" si="28"/>
        <v>0</v>
      </c>
      <c r="H91" s="71">
        <f t="shared" si="29"/>
        <v>293</v>
      </c>
      <c r="I91" s="72">
        <f t="shared" si="30"/>
        <v>293</v>
      </c>
      <c r="J91" s="71">
        <v>293</v>
      </c>
      <c r="K91" s="39">
        <f t="shared" si="31"/>
        <v>0</v>
      </c>
      <c r="L91" s="39">
        <f t="shared" si="32"/>
        <v>0</v>
      </c>
      <c r="M91" s="39">
        <f t="shared" si="33"/>
        <v>0</v>
      </c>
      <c r="N91" s="72">
        <f t="shared" si="34"/>
        <v>293</v>
      </c>
      <c r="O91" s="72">
        <v>0</v>
      </c>
      <c r="P91" s="72">
        <f t="shared" si="35"/>
        <v>293</v>
      </c>
      <c r="Q91" s="74">
        <v>0</v>
      </c>
      <c r="R91" s="11"/>
      <c r="S91" s="93">
        <f t="shared" si="38"/>
        <v>293</v>
      </c>
      <c r="T91" s="94" t="e">
        <f t="shared" si="22"/>
        <v>#DIV/0!</v>
      </c>
      <c r="U91" s="104">
        <f t="shared" si="40"/>
        <v>293</v>
      </c>
      <c r="X91" s="189"/>
      <c r="Y91" s="189"/>
      <c r="Z91" s="159">
        <f t="shared" si="36"/>
        <v>0</v>
      </c>
      <c r="AB91" s="189">
        <v>0</v>
      </c>
      <c r="AC91" s="189"/>
      <c r="AD91" s="189"/>
      <c r="AE91" s="159">
        <f t="shared" si="37"/>
        <v>0</v>
      </c>
    </row>
    <row r="92" spans="1:31" x14ac:dyDescent="0.2">
      <c r="A92" s="5"/>
      <c r="B92" s="75">
        <v>2993</v>
      </c>
      <c r="C92" s="73" t="s">
        <v>295</v>
      </c>
      <c r="D92" s="134">
        <f t="shared" si="25"/>
        <v>0</v>
      </c>
      <c r="E92" s="134">
        <f t="shared" si="26"/>
        <v>0</v>
      </c>
      <c r="F92" s="134">
        <f t="shared" si="27"/>
        <v>0</v>
      </c>
      <c r="G92" s="39">
        <f t="shared" si="28"/>
        <v>0</v>
      </c>
      <c r="H92" s="71">
        <f t="shared" si="29"/>
        <v>10500000</v>
      </c>
      <c r="I92" s="72">
        <f t="shared" si="30"/>
        <v>10500000</v>
      </c>
      <c r="J92" s="71">
        <v>10500000</v>
      </c>
      <c r="K92" s="39">
        <f t="shared" si="31"/>
        <v>0</v>
      </c>
      <c r="L92" s="39">
        <f t="shared" si="32"/>
        <v>0</v>
      </c>
      <c r="M92" s="39">
        <f t="shared" si="33"/>
        <v>0</v>
      </c>
      <c r="N92" s="72">
        <f t="shared" si="34"/>
        <v>10500000</v>
      </c>
      <c r="O92" s="72">
        <v>0</v>
      </c>
      <c r="P92" s="72">
        <f t="shared" si="35"/>
        <v>10500000</v>
      </c>
      <c r="Q92" s="74">
        <v>0</v>
      </c>
      <c r="R92" s="11"/>
      <c r="S92" s="93"/>
      <c r="T92" s="94"/>
      <c r="U92" s="104"/>
      <c r="X92" s="189"/>
      <c r="Y92" s="189"/>
      <c r="Z92" s="159">
        <f t="shared" si="36"/>
        <v>0</v>
      </c>
      <c r="AB92" s="189"/>
      <c r="AC92" s="189"/>
      <c r="AD92" s="189"/>
      <c r="AE92" s="159">
        <f t="shared" si="37"/>
        <v>0</v>
      </c>
    </row>
    <row r="93" spans="1:31" x14ac:dyDescent="0.2">
      <c r="A93" s="5"/>
      <c r="B93" s="85">
        <v>2994</v>
      </c>
      <c r="C93" s="73" t="s">
        <v>296</v>
      </c>
      <c r="D93" s="134">
        <f t="shared" si="25"/>
        <v>0</v>
      </c>
      <c r="E93" s="134">
        <f t="shared" si="26"/>
        <v>0</v>
      </c>
      <c r="F93" s="134">
        <f t="shared" si="27"/>
        <v>0</v>
      </c>
      <c r="G93" s="39">
        <f t="shared" si="28"/>
        <v>0</v>
      </c>
      <c r="H93" s="71">
        <f t="shared" si="29"/>
        <v>66962</v>
      </c>
      <c r="I93" s="72">
        <f t="shared" si="30"/>
        <v>66962</v>
      </c>
      <c r="J93" s="71">
        <v>66962</v>
      </c>
      <c r="K93" s="39">
        <f t="shared" si="31"/>
        <v>0</v>
      </c>
      <c r="L93" s="39">
        <f t="shared" si="32"/>
        <v>0</v>
      </c>
      <c r="M93" s="39">
        <f t="shared" si="33"/>
        <v>0</v>
      </c>
      <c r="N93" s="72">
        <f t="shared" si="34"/>
        <v>66962</v>
      </c>
      <c r="O93" s="72">
        <v>0</v>
      </c>
      <c r="P93" s="72">
        <f t="shared" si="35"/>
        <v>66962</v>
      </c>
      <c r="Q93" s="74">
        <v>0</v>
      </c>
      <c r="R93" s="11">
        <f t="shared" si="39"/>
        <v>0</v>
      </c>
      <c r="S93" s="93">
        <f t="shared" si="38"/>
        <v>66962</v>
      </c>
      <c r="T93" s="94" t="e">
        <f t="shared" si="22"/>
        <v>#DIV/0!</v>
      </c>
      <c r="U93" s="104">
        <f t="shared" si="40"/>
        <v>66962</v>
      </c>
      <c r="X93" s="189"/>
      <c r="Y93" s="189"/>
      <c r="Z93" s="159">
        <f t="shared" si="36"/>
        <v>0</v>
      </c>
      <c r="AB93" s="189"/>
      <c r="AC93" s="189"/>
      <c r="AD93" s="189"/>
      <c r="AE93" s="159">
        <f t="shared" si="37"/>
        <v>0</v>
      </c>
    </row>
    <row r="94" spans="1:31" hidden="1" x14ac:dyDescent="0.2">
      <c r="A94" s="5"/>
      <c r="B94" s="85">
        <v>2995</v>
      </c>
      <c r="C94" s="73" t="s">
        <v>186</v>
      </c>
      <c r="D94" s="134">
        <f t="shared" si="25"/>
        <v>0</v>
      </c>
      <c r="E94" s="134">
        <f t="shared" si="26"/>
        <v>0</v>
      </c>
      <c r="F94" s="134">
        <f t="shared" si="27"/>
        <v>0</v>
      </c>
      <c r="G94" s="39">
        <f t="shared" si="28"/>
        <v>0</v>
      </c>
      <c r="H94" s="71">
        <f t="shared" si="29"/>
        <v>0</v>
      </c>
      <c r="I94" s="72">
        <f t="shared" si="30"/>
        <v>0</v>
      </c>
      <c r="J94" s="71">
        <v>0</v>
      </c>
      <c r="K94" s="39">
        <f t="shared" si="31"/>
        <v>0</v>
      </c>
      <c r="L94" s="39">
        <f t="shared" si="32"/>
        <v>0</v>
      </c>
      <c r="M94" s="39">
        <f t="shared" si="33"/>
        <v>0</v>
      </c>
      <c r="N94" s="72">
        <f t="shared" si="34"/>
        <v>0</v>
      </c>
      <c r="O94" s="72">
        <v>0</v>
      </c>
      <c r="P94" s="72">
        <f t="shared" si="35"/>
        <v>0</v>
      </c>
      <c r="Q94" s="74">
        <v>0</v>
      </c>
      <c r="R94" s="11"/>
      <c r="S94" s="93">
        <f t="shared" si="38"/>
        <v>0</v>
      </c>
      <c r="T94" s="94" t="e">
        <f t="shared" si="22"/>
        <v>#DIV/0!</v>
      </c>
      <c r="U94" s="104">
        <f t="shared" si="40"/>
        <v>0</v>
      </c>
      <c r="X94" s="189"/>
      <c r="Y94" s="189"/>
      <c r="Z94" s="159">
        <f t="shared" si="36"/>
        <v>0</v>
      </c>
      <c r="AB94" s="189"/>
      <c r="AC94" s="189"/>
      <c r="AD94" s="189"/>
      <c r="AE94" s="159">
        <f t="shared" si="37"/>
        <v>0</v>
      </c>
    </row>
    <row r="95" spans="1:31" hidden="1" x14ac:dyDescent="0.2">
      <c r="A95" s="5"/>
      <c r="B95" s="85">
        <v>2996</v>
      </c>
      <c r="C95" s="73" t="s">
        <v>189</v>
      </c>
      <c r="D95" s="134">
        <f t="shared" si="25"/>
        <v>0</v>
      </c>
      <c r="E95" s="134">
        <f t="shared" si="26"/>
        <v>0</v>
      </c>
      <c r="F95" s="134">
        <f t="shared" si="27"/>
        <v>0</v>
      </c>
      <c r="G95" s="39">
        <f t="shared" si="28"/>
        <v>0</v>
      </c>
      <c r="H95" s="71">
        <f t="shared" si="29"/>
        <v>0</v>
      </c>
      <c r="I95" s="72">
        <f t="shared" si="30"/>
        <v>0</v>
      </c>
      <c r="J95" s="71">
        <v>0</v>
      </c>
      <c r="K95" s="39">
        <f t="shared" si="31"/>
        <v>0</v>
      </c>
      <c r="L95" s="39">
        <f t="shared" si="32"/>
        <v>0</v>
      </c>
      <c r="M95" s="39">
        <f t="shared" si="33"/>
        <v>0</v>
      </c>
      <c r="N95" s="72">
        <f t="shared" si="34"/>
        <v>0</v>
      </c>
      <c r="O95" s="72">
        <v>0</v>
      </c>
      <c r="P95" s="72">
        <f t="shared" si="35"/>
        <v>0</v>
      </c>
      <c r="Q95" s="74">
        <v>0</v>
      </c>
      <c r="R95" s="95"/>
      <c r="S95" s="93">
        <f t="shared" si="38"/>
        <v>0</v>
      </c>
      <c r="T95" s="94"/>
      <c r="U95" s="104">
        <f t="shared" si="40"/>
        <v>0</v>
      </c>
      <c r="X95" s="189"/>
      <c r="Y95" s="189"/>
      <c r="Z95" s="159">
        <f t="shared" si="36"/>
        <v>0</v>
      </c>
      <c r="AB95" s="189"/>
      <c r="AC95" s="189"/>
      <c r="AD95" s="189"/>
      <c r="AE95" s="159">
        <f t="shared" si="37"/>
        <v>0</v>
      </c>
    </row>
    <row r="96" spans="1:31" hidden="1" x14ac:dyDescent="0.2">
      <c r="A96" s="5"/>
      <c r="B96" s="85">
        <v>2997</v>
      </c>
      <c r="C96" s="73" t="s">
        <v>201</v>
      </c>
      <c r="D96" s="134">
        <f t="shared" si="25"/>
        <v>0</v>
      </c>
      <c r="E96" s="134">
        <f t="shared" si="26"/>
        <v>0</v>
      </c>
      <c r="F96" s="134">
        <f t="shared" si="27"/>
        <v>0</v>
      </c>
      <c r="G96" s="39">
        <f t="shared" si="28"/>
        <v>0</v>
      </c>
      <c r="H96" s="71">
        <f t="shared" si="29"/>
        <v>0</v>
      </c>
      <c r="I96" s="72">
        <f t="shared" si="30"/>
        <v>0</v>
      </c>
      <c r="J96" s="71">
        <v>0</v>
      </c>
      <c r="K96" s="39">
        <f t="shared" si="31"/>
        <v>0</v>
      </c>
      <c r="L96" s="39">
        <f t="shared" si="32"/>
        <v>0</v>
      </c>
      <c r="M96" s="39">
        <f t="shared" si="33"/>
        <v>0</v>
      </c>
      <c r="N96" s="72">
        <f t="shared" si="34"/>
        <v>0</v>
      </c>
      <c r="O96" s="72">
        <v>0</v>
      </c>
      <c r="P96" s="72">
        <f t="shared" si="35"/>
        <v>0</v>
      </c>
      <c r="Q96" s="74">
        <v>0</v>
      </c>
      <c r="R96" s="95"/>
      <c r="S96" s="93">
        <f t="shared" si="38"/>
        <v>0</v>
      </c>
      <c r="T96" s="94"/>
      <c r="U96" s="104"/>
      <c r="X96" s="189"/>
      <c r="Y96" s="189"/>
      <c r="Z96" s="159">
        <f t="shared" si="36"/>
        <v>0</v>
      </c>
      <c r="AB96" s="189"/>
      <c r="AC96" s="189"/>
      <c r="AD96" s="189"/>
      <c r="AE96" s="159">
        <f t="shared" si="37"/>
        <v>0</v>
      </c>
    </row>
    <row r="97" spans="1:31" x14ac:dyDescent="0.2">
      <c r="A97" s="5"/>
      <c r="B97" s="85">
        <v>2998</v>
      </c>
      <c r="C97" s="73" t="s">
        <v>254</v>
      </c>
      <c r="D97" s="134">
        <f t="shared" si="25"/>
        <v>0</v>
      </c>
      <c r="E97" s="134">
        <f t="shared" si="26"/>
        <v>0</v>
      </c>
      <c r="F97" s="134">
        <f t="shared" si="27"/>
        <v>0</v>
      </c>
      <c r="G97" s="39">
        <f t="shared" si="28"/>
        <v>0</v>
      </c>
      <c r="H97" s="71">
        <f t="shared" si="29"/>
        <v>1215930</v>
      </c>
      <c r="I97" s="72">
        <f t="shared" si="30"/>
        <v>1215930</v>
      </c>
      <c r="J97" s="71">
        <v>1184830</v>
      </c>
      <c r="K97" s="39">
        <f t="shared" si="31"/>
        <v>31100</v>
      </c>
      <c r="L97" s="39">
        <f t="shared" si="32"/>
        <v>0</v>
      </c>
      <c r="M97" s="39">
        <f t="shared" si="33"/>
        <v>31100</v>
      </c>
      <c r="N97" s="72">
        <f t="shared" si="34"/>
        <v>1215930</v>
      </c>
      <c r="O97" s="72">
        <v>0</v>
      </c>
      <c r="P97" s="72">
        <f t="shared" si="35"/>
        <v>1215930</v>
      </c>
      <c r="Q97" s="74">
        <v>0</v>
      </c>
      <c r="R97" s="95"/>
      <c r="S97" s="93">
        <f t="shared" si="38"/>
        <v>1215930</v>
      </c>
      <c r="T97" s="94"/>
      <c r="U97" s="104"/>
      <c r="X97" s="189">
        <v>31100</v>
      </c>
      <c r="Y97" s="189"/>
      <c r="Z97" s="159">
        <f t="shared" si="36"/>
        <v>31100</v>
      </c>
      <c r="AB97" s="189"/>
      <c r="AC97" s="189"/>
      <c r="AD97" s="189"/>
      <c r="AE97" s="159">
        <f t="shared" si="37"/>
        <v>0</v>
      </c>
    </row>
    <row r="98" spans="1:31" x14ac:dyDescent="0.2">
      <c r="A98" s="5"/>
      <c r="B98" s="85">
        <v>2999</v>
      </c>
      <c r="C98" s="73" t="s">
        <v>303</v>
      </c>
      <c r="D98" s="134">
        <f t="shared" si="25"/>
        <v>0</v>
      </c>
      <c r="E98" s="134">
        <f t="shared" si="26"/>
        <v>0</v>
      </c>
      <c r="F98" s="134">
        <f t="shared" si="27"/>
        <v>0</v>
      </c>
      <c r="G98" s="39">
        <f t="shared" si="28"/>
        <v>0</v>
      </c>
      <c r="H98" s="71">
        <f t="shared" si="29"/>
        <v>8500000</v>
      </c>
      <c r="I98" s="72">
        <f t="shared" si="30"/>
        <v>8500000</v>
      </c>
      <c r="J98" s="71">
        <v>8500000</v>
      </c>
      <c r="K98" s="39">
        <f t="shared" si="31"/>
        <v>0</v>
      </c>
      <c r="L98" s="39">
        <f t="shared" si="32"/>
        <v>0</v>
      </c>
      <c r="M98" s="39">
        <f t="shared" si="33"/>
        <v>0</v>
      </c>
      <c r="N98" s="72">
        <f t="shared" si="34"/>
        <v>8500000</v>
      </c>
      <c r="O98" s="72"/>
      <c r="P98" s="72">
        <f t="shared" si="35"/>
        <v>8500000</v>
      </c>
      <c r="Q98" s="74"/>
      <c r="R98" s="95"/>
      <c r="S98" s="93"/>
      <c r="T98" s="94"/>
      <c r="U98" s="104"/>
      <c r="X98" s="189"/>
      <c r="Y98" s="189"/>
      <c r="Z98" s="159">
        <f t="shared" si="36"/>
        <v>0</v>
      </c>
      <c r="AB98" s="189"/>
      <c r="AC98" s="189"/>
      <c r="AD98" s="189"/>
      <c r="AE98" s="159">
        <f t="shared" si="37"/>
        <v>0</v>
      </c>
    </row>
    <row r="99" spans="1:31" hidden="1" x14ac:dyDescent="0.2">
      <c r="A99" s="5"/>
      <c r="B99" s="85">
        <v>3201</v>
      </c>
      <c r="C99" s="10" t="s">
        <v>153</v>
      </c>
      <c r="D99" s="134">
        <f t="shared" si="25"/>
        <v>0</v>
      </c>
      <c r="E99" s="134">
        <f t="shared" si="26"/>
        <v>0</v>
      </c>
      <c r="F99" s="134">
        <f t="shared" si="27"/>
        <v>0</v>
      </c>
      <c r="G99" s="39">
        <f t="shared" si="28"/>
        <v>0</v>
      </c>
      <c r="H99" s="71">
        <f t="shared" si="29"/>
        <v>0</v>
      </c>
      <c r="I99" s="72">
        <f t="shared" si="30"/>
        <v>0</v>
      </c>
      <c r="J99" s="71">
        <v>0</v>
      </c>
      <c r="K99" s="39">
        <f t="shared" si="31"/>
        <v>0</v>
      </c>
      <c r="L99" s="39">
        <f t="shared" si="32"/>
        <v>0</v>
      </c>
      <c r="M99" s="39">
        <f t="shared" si="33"/>
        <v>0</v>
      </c>
      <c r="N99" s="72">
        <f t="shared" si="34"/>
        <v>0</v>
      </c>
      <c r="O99" s="72">
        <v>0</v>
      </c>
      <c r="P99" s="72">
        <f t="shared" si="35"/>
        <v>0</v>
      </c>
      <c r="Q99" s="74">
        <v>0</v>
      </c>
      <c r="R99" s="11">
        <f t="shared" si="39"/>
        <v>0</v>
      </c>
      <c r="S99" s="93">
        <f t="shared" si="38"/>
        <v>0</v>
      </c>
      <c r="T99" s="94" t="e">
        <f t="shared" si="22"/>
        <v>#DIV/0!</v>
      </c>
      <c r="U99" s="104">
        <f t="shared" si="40"/>
        <v>0</v>
      </c>
      <c r="X99" s="189"/>
      <c r="Y99" s="189"/>
      <c r="Z99" s="159">
        <f t="shared" si="36"/>
        <v>0</v>
      </c>
      <c r="AB99" s="189"/>
      <c r="AC99" s="189"/>
      <c r="AD99" s="189"/>
      <c r="AE99" s="159">
        <f t="shared" si="37"/>
        <v>0</v>
      </c>
    </row>
    <row r="100" spans="1:31" x14ac:dyDescent="0.2">
      <c r="A100" s="5"/>
      <c r="B100" s="85">
        <v>3400</v>
      </c>
      <c r="C100" s="10" t="s">
        <v>105</v>
      </c>
      <c r="D100" s="134">
        <f t="shared" si="25"/>
        <v>0</v>
      </c>
      <c r="E100" s="134">
        <f t="shared" si="26"/>
        <v>0</v>
      </c>
      <c r="F100" s="134">
        <f t="shared" si="27"/>
        <v>0</v>
      </c>
      <c r="G100" s="39">
        <f t="shared" si="28"/>
        <v>0</v>
      </c>
      <c r="H100" s="71">
        <f t="shared" si="29"/>
        <v>636463</v>
      </c>
      <c r="I100" s="72">
        <f t="shared" si="30"/>
        <v>636463</v>
      </c>
      <c r="J100" s="71">
        <v>619663</v>
      </c>
      <c r="K100" s="39">
        <f t="shared" si="31"/>
        <v>16800</v>
      </c>
      <c r="L100" s="39">
        <f t="shared" si="32"/>
        <v>0</v>
      </c>
      <c r="M100" s="39">
        <f t="shared" si="33"/>
        <v>16800</v>
      </c>
      <c r="N100" s="72">
        <f t="shared" si="34"/>
        <v>636463</v>
      </c>
      <c r="O100" s="72">
        <v>0</v>
      </c>
      <c r="P100" s="72">
        <f t="shared" si="35"/>
        <v>636463</v>
      </c>
      <c r="Q100" s="74">
        <v>0</v>
      </c>
      <c r="R100" s="11">
        <f t="shared" si="39"/>
        <v>0</v>
      </c>
      <c r="S100" s="93">
        <f t="shared" si="38"/>
        <v>636463</v>
      </c>
      <c r="T100" s="94" t="e">
        <f t="shared" si="22"/>
        <v>#DIV/0!</v>
      </c>
      <c r="U100" s="104">
        <f t="shared" si="40"/>
        <v>636463</v>
      </c>
      <c r="X100" s="189">
        <v>16800</v>
      </c>
      <c r="Y100" s="189"/>
      <c r="Z100" s="159">
        <f t="shared" si="36"/>
        <v>16800</v>
      </c>
      <c r="AB100" s="189"/>
      <c r="AC100" s="189"/>
      <c r="AD100" s="189"/>
      <c r="AE100" s="159">
        <f t="shared" si="37"/>
        <v>0</v>
      </c>
    </row>
    <row r="101" spans="1:31" hidden="1" x14ac:dyDescent="0.2">
      <c r="A101" s="5"/>
      <c r="B101" s="85">
        <v>3530</v>
      </c>
      <c r="C101" s="10" t="s">
        <v>106</v>
      </c>
      <c r="D101" s="134">
        <f t="shared" si="25"/>
        <v>0</v>
      </c>
      <c r="E101" s="134">
        <f t="shared" si="26"/>
        <v>0</v>
      </c>
      <c r="F101" s="134">
        <f t="shared" si="27"/>
        <v>0</v>
      </c>
      <c r="G101" s="39">
        <f t="shared" si="28"/>
        <v>0</v>
      </c>
      <c r="H101" s="71">
        <f t="shared" si="29"/>
        <v>0</v>
      </c>
      <c r="I101" s="72">
        <f t="shared" si="30"/>
        <v>0</v>
      </c>
      <c r="J101" s="71">
        <v>0</v>
      </c>
      <c r="K101" s="39">
        <f t="shared" si="31"/>
        <v>0</v>
      </c>
      <c r="L101" s="39">
        <f t="shared" si="32"/>
        <v>0</v>
      </c>
      <c r="M101" s="39">
        <f t="shared" si="33"/>
        <v>0</v>
      </c>
      <c r="N101" s="72">
        <f t="shared" si="34"/>
        <v>0</v>
      </c>
      <c r="O101" s="72">
        <v>0</v>
      </c>
      <c r="P101" s="72">
        <f t="shared" si="35"/>
        <v>0</v>
      </c>
      <c r="Q101" s="74">
        <v>0</v>
      </c>
      <c r="R101" s="95">
        <f t="shared" si="39"/>
        <v>0</v>
      </c>
      <c r="S101" s="93">
        <f t="shared" si="38"/>
        <v>0</v>
      </c>
      <c r="T101" s="94" t="e">
        <f t="shared" si="22"/>
        <v>#DIV/0!</v>
      </c>
      <c r="U101" s="104">
        <f t="shared" si="40"/>
        <v>0</v>
      </c>
      <c r="X101" s="189"/>
      <c r="Y101" s="189"/>
      <c r="Z101" s="159">
        <f t="shared" si="36"/>
        <v>0</v>
      </c>
      <c r="AB101" s="189"/>
      <c r="AC101" s="189"/>
      <c r="AD101" s="189"/>
      <c r="AE101" s="159">
        <f t="shared" si="37"/>
        <v>0</v>
      </c>
    </row>
    <row r="102" spans="1:31" hidden="1" x14ac:dyDescent="0.2">
      <c r="A102" s="5"/>
      <c r="B102" s="85">
        <v>3531</v>
      </c>
      <c r="C102" s="10" t="s">
        <v>107</v>
      </c>
      <c r="D102" s="134">
        <f t="shared" si="25"/>
        <v>0</v>
      </c>
      <c r="E102" s="134">
        <f t="shared" si="26"/>
        <v>0</v>
      </c>
      <c r="F102" s="134">
        <f t="shared" si="27"/>
        <v>0</v>
      </c>
      <c r="G102" s="39">
        <f t="shared" si="28"/>
        <v>0</v>
      </c>
      <c r="H102" s="71">
        <f t="shared" si="29"/>
        <v>0</v>
      </c>
      <c r="I102" s="72">
        <f t="shared" si="30"/>
        <v>0</v>
      </c>
      <c r="J102" s="71">
        <v>0</v>
      </c>
      <c r="K102" s="39">
        <f t="shared" si="31"/>
        <v>0</v>
      </c>
      <c r="L102" s="39">
        <f t="shared" si="32"/>
        <v>0</v>
      </c>
      <c r="M102" s="39">
        <f t="shared" si="33"/>
        <v>0</v>
      </c>
      <c r="N102" s="72">
        <f t="shared" si="34"/>
        <v>0</v>
      </c>
      <c r="O102" s="72">
        <v>0</v>
      </c>
      <c r="P102" s="72">
        <f t="shared" si="35"/>
        <v>0</v>
      </c>
      <c r="Q102" s="74">
        <v>0</v>
      </c>
      <c r="R102" s="11"/>
      <c r="S102" s="93">
        <f t="shared" si="38"/>
        <v>0</v>
      </c>
      <c r="T102" s="94" t="e">
        <f t="shared" si="22"/>
        <v>#DIV/0!</v>
      </c>
      <c r="U102" s="104">
        <f t="shared" si="40"/>
        <v>0</v>
      </c>
      <c r="X102" s="189"/>
      <c r="Y102" s="189"/>
      <c r="Z102" s="159">
        <f t="shared" si="36"/>
        <v>0</v>
      </c>
      <c r="AB102" s="189"/>
      <c r="AC102" s="189"/>
      <c r="AD102" s="189"/>
      <c r="AE102" s="159">
        <f t="shared" si="37"/>
        <v>0</v>
      </c>
    </row>
    <row r="103" spans="1:31" hidden="1" x14ac:dyDescent="0.2">
      <c r="A103" s="5"/>
      <c r="B103" s="85">
        <v>3532</v>
      </c>
      <c r="C103" s="10" t="s">
        <v>108</v>
      </c>
      <c r="D103" s="134">
        <f t="shared" si="25"/>
        <v>0</v>
      </c>
      <c r="E103" s="134">
        <f t="shared" si="26"/>
        <v>0</v>
      </c>
      <c r="F103" s="134">
        <f t="shared" si="27"/>
        <v>0</v>
      </c>
      <c r="G103" s="39">
        <f t="shared" si="28"/>
        <v>0</v>
      </c>
      <c r="H103" s="71">
        <f t="shared" si="29"/>
        <v>0</v>
      </c>
      <c r="I103" s="72">
        <f t="shared" si="30"/>
        <v>0</v>
      </c>
      <c r="J103" s="71">
        <v>0</v>
      </c>
      <c r="K103" s="39">
        <f t="shared" si="31"/>
        <v>0</v>
      </c>
      <c r="L103" s="39">
        <f t="shared" si="32"/>
        <v>0</v>
      </c>
      <c r="M103" s="39">
        <f t="shared" si="33"/>
        <v>0</v>
      </c>
      <c r="N103" s="72">
        <f t="shared" si="34"/>
        <v>0</v>
      </c>
      <c r="O103" s="72">
        <v>0</v>
      </c>
      <c r="P103" s="72">
        <f t="shared" si="35"/>
        <v>0</v>
      </c>
      <c r="Q103" s="74">
        <v>0</v>
      </c>
      <c r="R103" s="11">
        <f t="shared" si="39"/>
        <v>0</v>
      </c>
      <c r="S103" s="93">
        <f t="shared" si="38"/>
        <v>0</v>
      </c>
      <c r="T103" s="94" t="e">
        <f t="shared" si="22"/>
        <v>#DIV/0!</v>
      </c>
      <c r="U103" s="104">
        <f t="shared" si="40"/>
        <v>0</v>
      </c>
      <c r="X103" s="189"/>
      <c r="Y103" s="189"/>
      <c r="Z103" s="159">
        <f t="shared" si="36"/>
        <v>0</v>
      </c>
      <c r="AB103" s="189"/>
      <c r="AC103" s="189"/>
      <c r="AD103" s="189"/>
      <c r="AE103" s="159">
        <f t="shared" si="37"/>
        <v>0</v>
      </c>
    </row>
    <row r="104" spans="1:31" hidden="1" x14ac:dyDescent="0.2">
      <c r="A104" s="5"/>
      <c r="B104" s="85">
        <v>3536</v>
      </c>
      <c r="C104" s="10" t="s">
        <v>109</v>
      </c>
      <c r="D104" s="134">
        <f t="shared" si="25"/>
        <v>0</v>
      </c>
      <c r="E104" s="134">
        <f t="shared" si="26"/>
        <v>0</v>
      </c>
      <c r="F104" s="134">
        <f t="shared" si="27"/>
        <v>0</v>
      </c>
      <c r="G104" s="39">
        <f t="shared" si="28"/>
        <v>0</v>
      </c>
      <c r="H104" s="71">
        <f t="shared" si="29"/>
        <v>0</v>
      </c>
      <c r="I104" s="72">
        <f t="shared" si="30"/>
        <v>0</v>
      </c>
      <c r="J104" s="71">
        <v>0</v>
      </c>
      <c r="K104" s="39">
        <f t="shared" si="31"/>
        <v>0</v>
      </c>
      <c r="L104" s="39">
        <f t="shared" si="32"/>
        <v>0</v>
      </c>
      <c r="M104" s="39">
        <f t="shared" si="33"/>
        <v>0</v>
      </c>
      <c r="N104" s="72">
        <f t="shared" si="34"/>
        <v>0</v>
      </c>
      <c r="O104" s="72">
        <v>0</v>
      </c>
      <c r="P104" s="72">
        <f t="shared" si="35"/>
        <v>0</v>
      </c>
      <c r="Q104" s="74">
        <v>0</v>
      </c>
      <c r="R104" s="11">
        <f t="shared" si="39"/>
        <v>0</v>
      </c>
      <c r="S104" s="93">
        <f t="shared" si="38"/>
        <v>0</v>
      </c>
      <c r="T104" s="94" t="e">
        <f t="shared" si="22"/>
        <v>#DIV/0!</v>
      </c>
      <c r="U104" s="104">
        <f t="shared" si="40"/>
        <v>0</v>
      </c>
      <c r="X104" s="189"/>
      <c r="Y104" s="189"/>
      <c r="Z104" s="159">
        <f t="shared" si="36"/>
        <v>0</v>
      </c>
      <c r="AB104" s="189"/>
      <c r="AC104" s="189"/>
      <c r="AD104" s="189"/>
      <c r="AE104" s="159">
        <f t="shared" si="37"/>
        <v>0</v>
      </c>
    </row>
    <row r="105" spans="1:31" x14ac:dyDescent="0.2">
      <c r="A105" s="5"/>
      <c r="B105" s="85">
        <v>3538</v>
      </c>
      <c r="C105" s="10" t="s">
        <v>110</v>
      </c>
      <c r="D105" s="134">
        <f t="shared" si="25"/>
        <v>36625</v>
      </c>
      <c r="E105" s="134">
        <f t="shared" si="26"/>
        <v>0</v>
      </c>
      <c r="F105" s="134">
        <f t="shared" si="27"/>
        <v>0</v>
      </c>
      <c r="G105" s="39">
        <f t="shared" si="28"/>
        <v>36625</v>
      </c>
      <c r="H105" s="71">
        <f t="shared" si="29"/>
        <v>15313</v>
      </c>
      <c r="I105" s="72">
        <f t="shared" si="30"/>
        <v>51938</v>
      </c>
      <c r="J105" s="71">
        <v>15780</v>
      </c>
      <c r="K105" s="39">
        <f t="shared" si="31"/>
        <v>36158</v>
      </c>
      <c r="L105" s="39">
        <f t="shared" si="32"/>
        <v>0</v>
      </c>
      <c r="M105" s="39">
        <f t="shared" si="33"/>
        <v>36158</v>
      </c>
      <c r="N105" s="72">
        <f t="shared" si="34"/>
        <v>51938</v>
      </c>
      <c r="O105" s="72">
        <v>0</v>
      </c>
      <c r="P105" s="72">
        <f t="shared" si="35"/>
        <v>51938</v>
      </c>
      <c r="Q105" s="74">
        <v>0</v>
      </c>
      <c r="R105" s="11">
        <f t="shared" si="39"/>
        <v>0</v>
      </c>
      <c r="S105" s="93">
        <f t="shared" si="38"/>
        <v>15313</v>
      </c>
      <c r="T105" s="94">
        <f t="shared" si="22"/>
        <v>0.41810238907849828</v>
      </c>
      <c r="U105" s="104">
        <f t="shared" si="40"/>
        <v>15313</v>
      </c>
      <c r="X105" s="189">
        <v>36158</v>
      </c>
      <c r="Y105" s="189"/>
      <c r="Z105" s="159">
        <f t="shared" si="36"/>
        <v>36158</v>
      </c>
      <c r="AB105" s="189">
        <v>36625</v>
      </c>
      <c r="AC105" s="189"/>
      <c r="AD105" s="189"/>
      <c r="AE105" s="159">
        <f t="shared" si="37"/>
        <v>36625</v>
      </c>
    </row>
    <row r="106" spans="1:31" x14ac:dyDescent="0.2">
      <c r="A106" s="5"/>
      <c r="B106" s="85">
        <v>3539</v>
      </c>
      <c r="C106" s="10" t="s">
        <v>111</v>
      </c>
      <c r="D106" s="134">
        <f t="shared" si="25"/>
        <v>0</v>
      </c>
      <c r="E106" s="134">
        <f t="shared" si="26"/>
        <v>0</v>
      </c>
      <c r="F106" s="134">
        <f t="shared" si="27"/>
        <v>0</v>
      </c>
      <c r="G106" s="39">
        <f t="shared" si="28"/>
        <v>0</v>
      </c>
      <c r="H106" s="71">
        <f t="shared" si="29"/>
        <v>0</v>
      </c>
      <c r="I106" s="72">
        <f t="shared" si="30"/>
        <v>0</v>
      </c>
      <c r="J106" s="71">
        <v>0</v>
      </c>
      <c r="K106" s="39">
        <f t="shared" si="31"/>
        <v>0</v>
      </c>
      <c r="L106" s="39">
        <f t="shared" si="32"/>
        <v>0</v>
      </c>
      <c r="M106" s="39">
        <f t="shared" si="33"/>
        <v>0</v>
      </c>
      <c r="N106" s="72">
        <f t="shared" si="34"/>
        <v>0</v>
      </c>
      <c r="O106" s="72">
        <v>0</v>
      </c>
      <c r="P106" s="72">
        <f t="shared" si="35"/>
        <v>0</v>
      </c>
      <c r="Q106" s="74">
        <v>0</v>
      </c>
      <c r="R106" s="11"/>
      <c r="S106" s="93">
        <f t="shared" si="38"/>
        <v>0</v>
      </c>
      <c r="T106" s="94" t="e">
        <f t="shared" si="22"/>
        <v>#DIV/0!</v>
      </c>
      <c r="U106" s="104">
        <f t="shared" si="40"/>
        <v>0</v>
      </c>
      <c r="X106" s="189">
        <v>0</v>
      </c>
      <c r="Y106" s="189"/>
      <c r="Z106" s="159">
        <f t="shared" si="36"/>
        <v>0</v>
      </c>
      <c r="AB106" s="189">
        <v>0</v>
      </c>
      <c r="AC106" s="189"/>
      <c r="AD106" s="189"/>
      <c r="AE106" s="159">
        <f t="shared" si="37"/>
        <v>0</v>
      </c>
    </row>
    <row r="107" spans="1:31" x14ac:dyDescent="0.2">
      <c r="A107" s="5"/>
      <c r="B107" s="85">
        <v>3540</v>
      </c>
      <c r="C107" s="10" t="s">
        <v>112</v>
      </c>
      <c r="D107" s="134">
        <f t="shared" si="25"/>
        <v>11975</v>
      </c>
      <c r="E107" s="134">
        <f t="shared" si="26"/>
        <v>0</v>
      </c>
      <c r="F107" s="134">
        <f t="shared" si="27"/>
        <v>0</v>
      </c>
      <c r="G107" s="39">
        <f t="shared" si="28"/>
        <v>11975</v>
      </c>
      <c r="H107" s="71">
        <f t="shared" si="29"/>
        <v>10382</v>
      </c>
      <c r="I107" s="72">
        <f t="shared" si="30"/>
        <v>22357</v>
      </c>
      <c r="J107" s="71">
        <v>10064</v>
      </c>
      <c r="K107" s="39">
        <f t="shared" si="31"/>
        <v>12293</v>
      </c>
      <c r="L107" s="39">
        <f t="shared" si="32"/>
        <v>0</v>
      </c>
      <c r="M107" s="39">
        <f t="shared" si="33"/>
        <v>12293</v>
      </c>
      <c r="N107" s="72">
        <f t="shared" si="34"/>
        <v>22357</v>
      </c>
      <c r="O107" s="72">
        <v>0</v>
      </c>
      <c r="P107" s="72">
        <f t="shared" si="35"/>
        <v>22357</v>
      </c>
      <c r="Q107" s="74">
        <v>0</v>
      </c>
      <c r="R107" s="11"/>
      <c r="S107" s="93">
        <f t="shared" si="38"/>
        <v>10382</v>
      </c>
      <c r="T107" s="94">
        <f t="shared" si="22"/>
        <v>0.86697286012526098</v>
      </c>
      <c r="U107" s="104">
        <f t="shared" si="40"/>
        <v>10382</v>
      </c>
      <c r="X107" s="189">
        <v>12293</v>
      </c>
      <c r="Y107" s="189"/>
      <c r="Z107" s="159">
        <f t="shared" si="36"/>
        <v>12293</v>
      </c>
      <c r="AB107" s="189">
        <v>11975</v>
      </c>
      <c r="AC107" s="189"/>
      <c r="AD107" s="189"/>
      <c r="AE107" s="159">
        <f t="shared" si="37"/>
        <v>11975</v>
      </c>
    </row>
    <row r="108" spans="1:31" x14ac:dyDescent="0.2">
      <c r="A108" s="5"/>
      <c r="B108" s="85">
        <v>3541</v>
      </c>
      <c r="C108" s="10" t="s">
        <v>113</v>
      </c>
      <c r="D108" s="134">
        <f t="shared" si="25"/>
        <v>0</v>
      </c>
      <c r="E108" s="134">
        <f t="shared" si="26"/>
        <v>0</v>
      </c>
      <c r="F108" s="134">
        <f t="shared" si="27"/>
        <v>0</v>
      </c>
      <c r="G108" s="39">
        <f t="shared" si="28"/>
        <v>0</v>
      </c>
      <c r="H108" s="71">
        <f t="shared" si="29"/>
        <v>0</v>
      </c>
      <c r="I108" s="72">
        <f t="shared" si="30"/>
        <v>0</v>
      </c>
      <c r="J108" s="71">
        <v>0</v>
      </c>
      <c r="K108" s="39">
        <f t="shared" si="31"/>
        <v>0</v>
      </c>
      <c r="L108" s="39">
        <f t="shared" si="32"/>
        <v>0</v>
      </c>
      <c r="M108" s="39">
        <f t="shared" si="33"/>
        <v>0</v>
      </c>
      <c r="N108" s="72">
        <f t="shared" si="34"/>
        <v>0</v>
      </c>
      <c r="O108" s="72">
        <v>0</v>
      </c>
      <c r="P108" s="72">
        <f t="shared" si="35"/>
        <v>0</v>
      </c>
      <c r="Q108" s="74">
        <v>0</v>
      </c>
      <c r="R108" s="11">
        <f t="shared" si="39"/>
        <v>0</v>
      </c>
      <c r="S108" s="93">
        <f t="shared" si="38"/>
        <v>0</v>
      </c>
      <c r="T108" s="94" t="e">
        <f t="shared" si="22"/>
        <v>#DIV/0!</v>
      </c>
      <c r="U108" s="104">
        <f t="shared" si="40"/>
        <v>0</v>
      </c>
      <c r="X108" s="189"/>
      <c r="Y108" s="189"/>
      <c r="Z108" s="159">
        <f t="shared" si="36"/>
        <v>0</v>
      </c>
      <c r="AB108" s="189"/>
      <c r="AC108" s="189"/>
      <c r="AD108" s="189"/>
      <c r="AE108" s="159">
        <f t="shared" si="37"/>
        <v>0</v>
      </c>
    </row>
    <row r="109" spans="1:31" hidden="1" x14ac:dyDescent="0.2">
      <c r="A109" s="5"/>
      <c r="B109" s="85">
        <v>3542</v>
      </c>
      <c r="C109" s="10" t="s">
        <v>114</v>
      </c>
      <c r="D109" s="134">
        <f t="shared" si="25"/>
        <v>0</v>
      </c>
      <c r="E109" s="134">
        <f t="shared" si="26"/>
        <v>0</v>
      </c>
      <c r="F109" s="134">
        <f t="shared" si="27"/>
        <v>0</v>
      </c>
      <c r="G109" s="39">
        <f t="shared" si="28"/>
        <v>0</v>
      </c>
      <c r="H109" s="71">
        <f t="shared" si="29"/>
        <v>0</v>
      </c>
      <c r="I109" s="72">
        <f t="shared" si="30"/>
        <v>0</v>
      </c>
      <c r="J109" s="71">
        <v>0</v>
      </c>
      <c r="K109" s="39">
        <f t="shared" si="31"/>
        <v>0</v>
      </c>
      <c r="L109" s="39">
        <f t="shared" si="32"/>
        <v>0</v>
      </c>
      <c r="M109" s="39">
        <f t="shared" si="33"/>
        <v>0</v>
      </c>
      <c r="N109" s="72">
        <f t="shared" si="34"/>
        <v>0</v>
      </c>
      <c r="O109" s="72">
        <v>0</v>
      </c>
      <c r="P109" s="72">
        <f t="shared" si="35"/>
        <v>0</v>
      </c>
      <c r="Q109" s="74">
        <v>0</v>
      </c>
      <c r="R109" s="11">
        <f t="shared" si="39"/>
        <v>0</v>
      </c>
      <c r="S109" s="93">
        <f t="shared" si="38"/>
        <v>0</v>
      </c>
      <c r="T109" s="94" t="e">
        <f t="shared" si="22"/>
        <v>#DIV/0!</v>
      </c>
      <c r="U109" s="104">
        <f t="shared" si="40"/>
        <v>0</v>
      </c>
      <c r="X109" s="189"/>
      <c r="Y109" s="189"/>
      <c r="Z109" s="159">
        <f t="shared" si="36"/>
        <v>0</v>
      </c>
      <c r="AB109" s="189"/>
      <c r="AC109" s="189"/>
      <c r="AD109" s="189"/>
      <c r="AE109" s="159">
        <f t="shared" si="37"/>
        <v>0</v>
      </c>
    </row>
    <row r="110" spans="1:31" x14ac:dyDescent="0.2">
      <c r="A110" s="5"/>
      <c r="B110" s="92">
        <v>3543</v>
      </c>
      <c r="C110" s="10" t="s">
        <v>141</v>
      </c>
      <c r="D110" s="134">
        <f t="shared" si="25"/>
        <v>0</v>
      </c>
      <c r="E110" s="134">
        <f t="shared" si="26"/>
        <v>0</v>
      </c>
      <c r="F110" s="134">
        <f t="shared" si="27"/>
        <v>0</v>
      </c>
      <c r="G110" s="39">
        <f t="shared" si="28"/>
        <v>0</v>
      </c>
      <c r="H110" s="71">
        <f t="shared" si="29"/>
        <v>686</v>
      </c>
      <c r="I110" s="72">
        <f t="shared" si="30"/>
        <v>686</v>
      </c>
      <c r="J110" s="71">
        <v>86</v>
      </c>
      <c r="K110" s="39">
        <f t="shared" si="31"/>
        <v>600</v>
      </c>
      <c r="L110" s="39">
        <f t="shared" si="32"/>
        <v>0</v>
      </c>
      <c r="M110" s="39">
        <f t="shared" si="33"/>
        <v>600</v>
      </c>
      <c r="N110" s="72">
        <f t="shared" si="34"/>
        <v>686</v>
      </c>
      <c r="O110" s="72">
        <v>0</v>
      </c>
      <c r="P110" s="72">
        <f t="shared" si="35"/>
        <v>686</v>
      </c>
      <c r="Q110" s="74">
        <v>0</v>
      </c>
      <c r="R110" s="11">
        <f t="shared" si="39"/>
        <v>0</v>
      </c>
      <c r="S110" s="93">
        <f t="shared" si="38"/>
        <v>686</v>
      </c>
      <c r="T110" s="94" t="e">
        <f t="shared" si="22"/>
        <v>#DIV/0!</v>
      </c>
      <c r="U110" s="104">
        <f t="shared" si="40"/>
        <v>686</v>
      </c>
      <c r="X110" s="189">
        <v>600</v>
      </c>
      <c r="Y110" s="189"/>
      <c r="Z110" s="159">
        <f t="shared" si="36"/>
        <v>600</v>
      </c>
      <c r="AB110" s="189"/>
      <c r="AC110" s="189"/>
      <c r="AD110" s="189"/>
      <c r="AE110" s="159">
        <f t="shared" si="37"/>
        <v>0</v>
      </c>
    </row>
    <row r="111" spans="1:31" x14ac:dyDescent="0.2">
      <c r="A111" s="5"/>
      <c r="B111" s="92">
        <v>3544</v>
      </c>
      <c r="C111" s="10" t="s">
        <v>142</v>
      </c>
      <c r="D111" s="134">
        <f t="shared" si="25"/>
        <v>0</v>
      </c>
      <c r="E111" s="134">
        <f t="shared" si="26"/>
        <v>0</v>
      </c>
      <c r="F111" s="134">
        <f t="shared" si="27"/>
        <v>0</v>
      </c>
      <c r="G111" s="39">
        <f t="shared" si="28"/>
        <v>0</v>
      </c>
      <c r="H111" s="71">
        <f t="shared" si="29"/>
        <v>16840</v>
      </c>
      <c r="I111" s="72">
        <f t="shared" si="30"/>
        <v>16840</v>
      </c>
      <c r="J111" s="71">
        <v>16040</v>
      </c>
      <c r="K111" s="39">
        <f t="shared" si="31"/>
        <v>800</v>
      </c>
      <c r="L111" s="39">
        <f t="shared" si="32"/>
        <v>0</v>
      </c>
      <c r="M111" s="39">
        <f t="shared" si="33"/>
        <v>800</v>
      </c>
      <c r="N111" s="72">
        <f t="shared" si="34"/>
        <v>16840</v>
      </c>
      <c r="O111" s="72">
        <v>0</v>
      </c>
      <c r="P111" s="72">
        <f t="shared" si="35"/>
        <v>16840</v>
      </c>
      <c r="Q111" s="74">
        <v>0</v>
      </c>
      <c r="R111" s="11">
        <f t="shared" si="39"/>
        <v>0</v>
      </c>
      <c r="S111" s="93">
        <f t="shared" si="38"/>
        <v>16840</v>
      </c>
      <c r="T111" s="94" t="e">
        <f t="shared" si="22"/>
        <v>#DIV/0!</v>
      </c>
      <c r="U111" s="104">
        <f t="shared" si="40"/>
        <v>16840</v>
      </c>
      <c r="X111" s="189">
        <v>800</v>
      </c>
      <c r="Y111" s="189"/>
      <c r="Z111" s="159">
        <f t="shared" si="36"/>
        <v>800</v>
      </c>
      <c r="AB111" s="189"/>
      <c r="AC111" s="189"/>
      <c r="AD111" s="189"/>
      <c r="AE111" s="159">
        <f t="shared" si="37"/>
        <v>0</v>
      </c>
    </row>
    <row r="112" spans="1:31" x14ac:dyDescent="0.2">
      <c r="A112" s="5"/>
      <c r="B112" s="92">
        <v>3545</v>
      </c>
      <c r="C112" s="10" t="s">
        <v>143</v>
      </c>
      <c r="D112" s="134">
        <f t="shared" si="25"/>
        <v>12068</v>
      </c>
      <c r="E112" s="134">
        <f t="shared" si="26"/>
        <v>0</v>
      </c>
      <c r="F112" s="134">
        <f t="shared" si="27"/>
        <v>0</v>
      </c>
      <c r="G112" s="39">
        <f t="shared" si="28"/>
        <v>12068</v>
      </c>
      <c r="H112" s="71">
        <f t="shared" si="29"/>
        <v>18259</v>
      </c>
      <c r="I112" s="72">
        <f t="shared" si="30"/>
        <v>30327</v>
      </c>
      <c r="J112" s="71">
        <v>8657</v>
      </c>
      <c r="K112" s="39">
        <f t="shared" si="31"/>
        <v>21670</v>
      </c>
      <c r="L112" s="39">
        <f t="shared" si="32"/>
        <v>0</v>
      </c>
      <c r="M112" s="39">
        <f t="shared" si="33"/>
        <v>21670</v>
      </c>
      <c r="N112" s="72">
        <f t="shared" si="34"/>
        <v>30327</v>
      </c>
      <c r="O112" s="72">
        <v>0</v>
      </c>
      <c r="P112" s="72">
        <f t="shared" si="35"/>
        <v>30327</v>
      </c>
      <c r="Q112" s="74">
        <v>0</v>
      </c>
      <c r="R112" s="95">
        <f t="shared" si="39"/>
        <v>0</v>
      </c>
      <c r="S112" s="93">
        <f t="shared" si="38"/>
        <v>18259</v>
      </c>
      <c r="T112" s="94">
        <f t="shared" si="22"/>
        <v>1.5130096121975471</v>
      </c>
      <c r="U112" s="104">
        <f t="shared" si="40"/>
        <v>18259</v>
      </c>
      <c r="X112" s="189">
        <v>21670</v>
      </c>
      <c r="Y112" s="189"/>
      <c r="Z112" s="159">
        <f t="shared" si="36"/>
        <v>21670</v>
      </c>
      <c r="AB112" s="189">
        <v>12068</v>
      </c>
      <c r="AC112" s="189"/>
      <c r="AD112" s="189"/>
      <c r="AE112" s="159">
        <f t="shared" si="37"/>
        <v>12068</v>
      </c>
    </row>
    <row r="113" spans="1:31" x14ac:dyDescent="0.2">
      <c r="A113" s="5"/>
      <c r="B113" s="92">
        <v>3546</v>
      </c>
      <c r="C113" s="10" t="s">
        <v>144</v>
      </c>
      <c r="D113" s="134">
        <f t="shared" si="25"/>
        <v>11575</v>
      </c>
      <c r="E113" s="134">
        <f t="shared" si="26"/>
        <v>0</v>
      </c>
      <c r="F113" s="134">
        <f t="shared" si="27"/>
        <v>0</v>
      </c>
      <c r="G113" s="39">
        <f t="shared" si="28"/>
        <v>11575</v>
      </c>
      <c r="H113" s="71">
        <f t="shared" si="29"/>
        <v>8718</v>
      </c>
      <c r="I113" s="72">
        <f t="shared" si="30"/>
        <v>20293</v>
      </c>
      <c r="J113" s="71">
        <v>6925</v>
      </c>
      <c r="K113" s="39">
        <f t="shared" si="31"/>
        <v>13368</v>
      </c>
      <c r="L113" s="39">
        <f t="shared" si="32"/>
        <v>0</v>
      </c>
      <c r="M113" s="39">
        <f t="shared" si="33"/>
        <v>13368</v>
      </c>
      <c r="N113" s="72">
        <f t="shared" si="34"/>
        <v>20293</v>
      </c>
      <c r="O113" s="72">
        <v>0</v>
      </c>
      <c r="P113" s="72">
        <f t="shared" si="35"/>
        <v>20293</v>
      </c>
      <c r="Q113" s="74">
        <v>0</v>
      </c>
      <c r="R113" s="11">
        <f t="shared" si="39"/>
        <v>0</v>
      </c>
      <c r="S113" s="93">
        <f t="shared" si="38"/>
        <v>8718</v>
      </c>
      <c r="T113" s="94">
        <f t="shared" si="22"/>
        <v>0.75317494600431967</v>
      </c>
      <c r="U113" s="104">
        <f t="shared" si="40"/>
        <v>8718</v>
      </c>
      <c r="X113" s="189">
        <v>13368</v>
      </c>
      <c r="Y113" s="189"/>
      <c r="Z113" s="159">
        <f t="shared" si="36"/>
        <v>13368</v>
      </c>
      <c r="AB113" s="189">
        <v>11575</v>
      </c>
      <c r="AC113" s="189"/>
      <c r="AD113" s="189"/>
      <c r="AE113" s="159">
        <f t="shared" si="37"/>
        <v>11575</v>
      </c>
    </row>
    <row r="114" spans="1:31" x14ac:dyDescent="0.2">
      <c r="A114" s="5"/>
      <c r="B114" s="92">
        <v>3547</v>
      </c>
      <c r="C114" s="10" t="s">
        <v>145</v>
      </c>
      <c r="D114" s="134">
        <f t="shared" si="25"/>
        <v>12660</v>
      </c>
      <c r="E114" s="134">
        <f t="shared" si="26"/>
        <v>0</v>
      </c>
      <c r="F114" s="134">
        <f t="shared" si="27"/>
        <v>0</v>
      </c>
      <c r="G114" s="39">
        <f t="shared" si="28"/>
        <v>12660</v>
      </c>
      <c r="H114" s="71">
        <f t="shared" si="29"/>
        <v>20979</v>
      </c>
      <c r="I114" s="72">
        <f t="shared" si="30"/>
        <v>33639</v>
      </c>
      <c r="J114" s="71">
        <v>18694</v>
      </c>
      <c r="K114" s="39">
        <f t="shared" si="31"/>
        <v>14945</v>
      </c>
      <c r="L114" s="39">
        <f t="shared" si="32"/>
        <v>0</v>
      </c>
      <c r="M114" s="39">
        <f t="shared" si="33"/>
        <v>14945</v>
      </c>
      <c r="N114" s="72">
        <f t="shared" si="34"/>
        <v>33639</v>
      </c>
      <c r="O114" s="72">
        <v>0</v>
      </c>
      <c r="P114" s="72">
        <f t="shared" si="35"/>
        <v>33639</v>
      </c>
      <c r="Q114" s="74">
        <v>0</v>
      </c>
      <c r="R114" s="11">
        <f t="shared" si="39"/>
        <v>0</v>
      </c>
      <c r="S114" s="93">
        <f t="shared" si="38"/>
        <v>20979</v>
      </c>
      <c r="T114" s="94">
        <f t="shared" si="22"/>
        <v>1.6571090047393364</v>
      </c>
      <c r="U114" s="104">
        <f t="shared" si="40"/>
        <v>20979</v>
      </c>
      <c r="X114" s="189">
        <v>14945</v>
      </c>
      <c r="Y114" s="189"/>
      <c r="Z114" s="159">
        <f t="shared" si="36"/>
        <v>14945</v>
      </c>
      <c r="AB114" s="189">
        <v>12660</v>
      </c>
      <c r="AC114" s="189"/>
      <c r="AD114" s="189"/>
      <c r="AE114" s="159">
        <f t="shared" si="37"/>
        <v>12660</v>
      </c>
    </row>
    <row r="115" spans="1:31" x14ac:dyDescent="0.2">
      <c r="A115" s="5"/>
      <c r="B115" s="85">
        <v>3549</v>
      </c>
      <c r="C115" s="73" t="s">
        <v>148</v>
      </c>
      <c r="D115" s="134">
        <f t="shared" si="25"/>
        <v>25786</v>
      </c>
      <c r="E115" s="134">
        <f t="shared" si="26"/>
        <v>0</v>
      </c>
      <c r="F115" s="134">
        <f t="shared" si="27"/>
        <v>0</v>
      </c>
      <c r="G115" s="39">
        <f t="shared" si="28"/>
        <v>25786</v>
      </c>
      <c r="H115" s="71">
        <f t="shared" si="29"/>
        <v>1364</v>
      </c>
      <c r="I115" s="72">
        <f t="shared" si="30"/>
        <v>27150</v>
      </c>
      <c r="J115" s="71">
        <v>46</v>
      </c>
      <c r="K115" s="39">
        <f t="shared" si="31"/>
        <v>27104</v>
      </c>
      <c r="L115" s="39">
        <f t="shared" si="32"/>
        <v>0</v>
      </c>
      <c r="M115" s="39">
        <f t="shared" si="33"/>
        <v>27104</v>
      </c>
      <c r="N115" s="72">
        <f t="shared" si="34"/>
        <v>27150</v>
      </c>
      <c r="O115" s="72">
        <v>0</v>
      </c>
      <c r="P115" s="72">
        <f t="shared" si="35"/>
        <v>27150</v>
      </c>
      <c r="Q115" s="74">
        <v>0</v>
      </c>
      <c r="R115" s="11"/>
      <c r="S115" s="93">
        <f t="shared" si="38"/>
        <v>1364</v>
      </c>
      <c r="T115" s="94">
        <f t="shared" si="22"/>
        <v>5.2896920809741718E-2</v>
      </c>
      <c r="U115" s="104">
        <f t="shared" si="40"/>
        <v>1364</v>
      </c>
      <c r="X115" s="189">
        <v>27104</v>
      </c>
      <c r="Y115" s="189"/>
      <c r="Z115" s="159">
        <f t="shared" si="36"/>
        <v>27104</v>
      </c>
      <c r="AB115" s="189">
        <v>25786</v>
      </c>
      <c r="AC115" s="189"/>
      <c r="AD115" s="189"/>
      <c r="AE115" s="159">
        <f t="shared" si="37"/>
        <v>25786</v>
      </c>
    </row>
    <row r="116" spans="1:31" x14ac:dyDescent="0.2">
      <c r="A116" s="5"/>
      <c r="B116" s="85">
        <v>3550</v>
      </c>
      <c r="C116" s="73" t="s">
        <v>183</v>
      </c>
      <c r="D116" s="134">
        <f t="shared" si="25"/>
        <v>3499</v>
      </c>
      <c r="E116" s="134">
        <f t="shared" si="26"/>
        <v>0</v>
      </c>
      <c r="F116" s="134">
        <f t="shared" si="27"/>
        <v>0</v>
      </c>
      <c r="G116" s="39">
        <f t="shared" si="28"/>
        <v>3499</v>
      </c>
      <c r="H116" s="71">
        <f t="shared" si="29"/>
        <v>7315</v>
      </c>
      <c r="I116" s="72">
        <f t="shared" si="30"/>
        <v>10814</v>
      </c>
      <c r="J116" s="71">
        <v>6606</v>
      </c>
      <c r="K116" s="39">
        <f t="shared" si="31"/>
        <v>4208</v>
      </c>
      <c r="L116" s="39">
        <f t="shared" si="32"/>
        <v>0</v>
      </c>
      <c r="M116" s="39">
        <f t="shared" si="33"/>
        <v>4208</v>
      </c>
      <c r="N116" s="72">
        <f t="shared" si="34"/>
        <v>10814</v>
      </c>
      <c r="O116" s="72">
        <v>0</v>
      </c>
      <c r="P116" s="72">
        <f t="shared" si="35"/>
        <v>10814</v>
      </c>
      <c r="Q116" s="74">
        <v>0</v>
      </c>
      <c r="R116" s="11"/>
      <c r="S116" s="93">
        <f t="shared" si="38"/>
        <v>7315</v>
      </c>
      <c r="T116" s="94">
        <f t="shared" si="22"/>
        <v>2.0905973135181481</v>
      </c>
      <c r="U116" s="104">
        <f t="shared" si="40"/>
        <v>7315</v>
      </c>
      <c r="X116" s="189">
        <v>4208</v>
      </c>
      <c r="Y116" s="189"/>
      <c r="Z116" s="159">
        <f t="shared" si="36"/>
        <v>4208</v>
      </c>
      <c r="AB116" s="189">
        <v>3499</v>
      </c>
      <c r="AC116" s="189"/>
      <c r="AD116" s="189"/>
      <c r="AE116" s="159">
        <f t="shared" si="37"/>
        <v>3499</v>
      </c>
    </row>
    <row r="117" spans="1:31" x14ac:dyDescent="0.2">
      <c r="A117" s="5"/>
      <c r="B117" s="85">
        <v>3551</v>
      </c>
      <c r="C117" s="73" t="s">
        <v>184</v>
      </c>
      <c r="D117" s="134">
        <f t="shared" si="25"/>
        <v>18123</v>
      </c>
      <c r="E117" s="134">
        <f t="shared" si="26"/>
        <v>0</v>
      </c>
      <c r="F117" s="134">
        <f t="shared" si="27"/>
        <v>0</v>
      </c>
      <c r="G117" s="39">
        <f t="shared" si="28"/>
        <v>18123</v>
      </c>
      <c r="H117" s="71">
        <f t="shared" si="29"/>
        <v>2729</v>
      </c>
      <c r="I117" s="72">
        <f t="shared" si="30"/>
        <v>20852</v>
      </c>
      <c r="J117" s="71">
        <v>3101</v>
      </c>
      <c r="K117" s="39">
        <f t="shared" si="31"/>
        <v>17751</v>
      </c>
      <c r="L117" s="39">
        <f t="shared" si="32"/>
        <v>0</v>
      </c>
      <c r="M117" s="39">
        <f t="shared" si="33"/>
        <v>17751</v>
      </c>
      <c r="N117" s="72">
        <f t="shared" si="34"/>
        <v>20852</v>
      </c>
      <c r="O117" s="72">
        <v>0</v>
      </c>
      <c r="P117" s="72">
        <f t="shared" si="35"/>
        <v>20852</v>
      </c>
      <c r="Q117" s="74">
        <v>0</v>
      </c>
      <c r="R117" s="11"/>
      <c r="S117" s="93">
        <f t="shared" si="38"/>
        <v>2729</v>
      </c>
      <c r="T117" s="94">
        <f t="shared" ref="T117:T187" si="42">+S117/G117</f>
        <v>0.15058213320090494</v>
      </c>
      <c r="U117" s="104">
        <f t="shared" si="40"/>
        <v>2729</v>
      </c>
      <c r="X117" s="189">
        <v>17751</v>
      </c>
      <c r="Y117" s="189"/>
      <c r="Z117" s="159">
        <f t="shared" si="36"/>
        <v>17751</v>
      </c>
      <c r="AB117" s="189">
        <v>18123</v>
      </c>
      <c r="AC117" s="189"/>
      <c r="AD117" s="189"/>
      <c r="AE117" s="159">
        <f t="shared" si="37"/>
        <v>18123</v>
      </c>
    </row>
    <row r="118" spans="1:31" x14ac:dyDescent="0.2">
      <c r="A118" s="5"/>
      <c r="B118" s="85">
        <v>3553</v>
      </c>
      <c r="C118" s="73" t="s">
        <v>205</v>
      </c>
      <c r="D118" s="134">
        <f t="shared" si="25"/>
        <v>26322</v>
      </c>
      <c r="E118" s="134">
        <f t="shared" si="26"/>
        <v>0</v>
      </c>
      <c r="F118" s="134">
        <f t="shared" si="27"/>
        <v>0</v>
      </c>
      <c r="G118" s="39">
        <f t="shared" si="28"/>
        <v>26322</v>
      </c>
      <c r="H118" s="71">
        <f t="shared" si="29"/>
        <v>28243</v>
      </c>
      <c r="I118" s="72">
        <f t="shared" si="30"/>
        <v>54565</v>
      </c>
      <c r="J118" s="71">
        <v>25975</v>
      </c>
      <c r="K118" s="39">
        <f t="shared" si="31"/>
        <v>28590</v>
      </c>
      <c r="L118" s="39">
        <f t="shared" si="32"/>
        <v>0</v>
      </c>
      <c r="M118" s="39">
        <f t="shared" si="33"/>
        <v>28590</v>
      </c>
      <c r="N118" s="72">
        <f t="shared" si="34"/>
        <v>54565</v>
      </c>
      <c r="O118" s="72">
        <v>0</v>
      </c>
      <c r="P118" s="72">
        <f t="shared" si="35"/>
        <v>54565</v>
      </c>
      <c r="Q118" s="74">
        <v>0</v>
      </c>
      <c r="R118" s="11"/>
      <c r="S118" s="93">
        <f t="shared" si="38"/>
        <v>28243</v>
      </c>
      <c r="T118" s="94"/>
      <c r="U118" s="104"/>
      <c r="X118" s="189">
        <v>28590</v>
      </c>
      <c r="Y118" s="189"/>
      <c r="Z118" s="159">
        <f t="shared" si="36"/>
        <v>28590</v>
      </c>
      <c r="AB118" s="189">
        <v>26322</v>
      </c>
      <c r="AC118" s="189"/>
      <c r="AD118" s="189"/>
      <c r="AE118" s="159">
        <f t="shared" si="37"/>
        <v>26322</v>
      </c>
    </row>
    <row r="119" spans="1:31" x14ac:dyDescent="0.2">
      <c r="A119" s="5"/>
      <c r="B119" s="85">
        <v>3554</v>
      </c>
      <c r="C119" s="73" t="s">
        <v>187</v>
      </c>
      <c r="D119" s="134">
        <f t="shared" si="25"/>
        <v>10600</v>
      </c>
      <c r="E119" s="134">
        <f t="shared" si="26"/>
        <v>0</v>
      </c>
      <c r="F119" s="134">
        <f t="shared" si="27"/>
        <v>0</v>
      </c>
      <c r="G119" s="39">
        <f t="shared" si="28"/>
        <v>10600</v>
      </c>
      <c r="H119" s="71">
        <f t="shared" si="29"/>
        <v>74</v>
      </c>
      <c r="I119" s="72">
        <f t="shared" si="30"/>
        <v>10674</v>
      </c>
      <c r="J119" s="71">
        <v>580</v>
      </c>
      <c r="K119" s="39">
        <f t="shared" si="31"/>
        <v>10094</v>
      </c>
      <c r="L119" s="39">
        <f t="shared" si="32"/>
        <v>0</v>
      </c>
      <c r="M119" s="39">
        <f t="shared" si="33"/>
        <v>10094</v>
      </c>
      <c r="N119" s="72">
        <f t="shared" si="34"/>
        <v>10674</v>
      </c>
      <c r="O119" s="72">
        <v>0</v>
      </c>
      <c r="P119" s="72">
        <f t="shared" si="35"/>
        <v>10674</v>
      </c>
      <c r="Q119" s="74">
        <v>0</v>
      </c>
      <c r="R119" s="95"/>
      <c r="S119" s="93">
        <f t="shared" si="38"/>
        <v>74</v>
      </c>
      <c r="T119" s="94"/>
      <c r="U119" s="104">
        <f t="shared" si="40"/>
        <v>74</v>
      </c>
      <c r="X119" s="189">
        <v>10094</v>
      </c>
      <c r="Y119" s="189"/>
      <c r="Z119" s="159">
        <f t="shared" si="36"/>
        <v>10094</v>
      </c>
      <c r="AB119" s="189">
        <v>10600</v>
      </c>
      <c r="AC119" s="189"/>
      <c r="AD119" s="189"/>
      <c r="AE119" s="159">
        <f t="shared" si="37"/>
        <v>10600</v>
      </c>
    </row>
    <row r="120" spans="1:31" x14ac:dyDescent="0.2">
      <c r="A120" s="5"/>
      <c r="B120" s="85">
        <v>3555</v>
      </c>
      <c r="C120" s="73" t="s">
        <v>206</v>
      </c>
      <c r="D120" s="134">
        <f t="shared" si="25"/>
        <v>43401</v>
      </c>
      <c r="E120" s="134">
        <f t="shared" si="26"/>
        <v>0</v>
      </c>
      <c r="F120" s="134">
        <f t="shared" si="27"/>
        <v>0</v>
      </c>
      <c r="G120" s="39">
        <f t="shared" si="28"/>
        <v>43401</v>
      </c>
      <c r="H120" s="71">
        <f t="shared" si="29"/>
        <v>71834</v>
      </c>
      <c r="I120" s="72">
        <f t="shared" si="30"/>
        <v>115235</v>
      </c>
      <c r="J120" s="71">
        <v>59878</v>
      </c>
      <c r="K120" s="39">
        <f t="shared" si="31"/>
        <v>55357</v>
      </c>
      <c r="L120" s="39">
        <f t="shared" si="32"/>
        <v>0</v>
      </c>
      <c r="M120" s="39">
        <f t="shared" si="33"/>
        <v>55357</v>
      </c>
      <c r="N120" s="72">
        <f t="shared" si="34"/>
        <v>115235</v>
      </c>
      <c r="O120" s="72">
        <v>0</v>
      </c>
      <c r="P120" s="72">
        <f t="shared" si="35"/>
        <v>115235</v>
      </c>
      <c r="Q120" s="74">
        <v>0</v>
      </c>
      <c r="R120" s="11"/>
      <c r="S120" s="93">
        <f t="shared" si="38"/>
        <v>71834</v>
      </c>
      <c r="T120" s="94"/>
      <c r="U120" s="104"/>
      <c r="X120" s="189">
        <v>55357</v>
      </c>
      <c r="Y120" s="189"/>
      <c r="Z120" s="159">
        <f t="shared" si="36"/>
        <v>55357</v>
      </c>
      <c r="AB120" s="189">
        <v>43401</v>
      </c>
      <c r="AC120" s="189"/>
      <c r="AD120" s="189"/>
      <c r="AE120" s="159">
        <f t="shared" si="37"/>
        <v>43401</v>
      </c>
    </row>
    <row r="121" spans="1:31" x14ac:dyDescent="0.2">
      <c r="A121" s="5"/>
      <c r="B121" s="85">
        <v>3556</v>
      </c>
      <c r="C121" s="73" t="s">
        <v>208</v>
      </c>
      <c r="D121" s="134">
        <f t="shared" si="25"/>
        <v>58152</v>
      </c>
      <c r="E121" s="134">
        <f t="shared" si="26"/>
        <v>0</v>
      </c>
      <c r="F121" s="134">
        <f t="shared" si="27"/>
        <v>0</v>
      </c>
      <c r="G121" s="39">
        <f t="shared" si="28"/>
        <v>58152</v>
      </c>
      <c r="H121" s="71">
        <f t="shared" si="29"/>
        <v>80279</v>
      </c>
      <c r="I121" s="72">
        <f t="shared" si="30"/>
        <v>138431</v>
      </c>
      <c r="J121" s="71">
        <v>71288</v>
      </c>
      <c r="K121" s="39">
        <f t="shared" si="31"/>
        <v>67143</v>
      </c>
      <c r="L121" s="39">
        <f t="shared" si="32"/>
        <v>0</v>
      </c>
      <c r="M121" s="39">
        <f t="shared" si="33"/>
        <v>67143</v>
      </c>
      <c r="N121" s="72">
        <f t="shared" si="34"/>
        <v>138431</v>
      </c>
      <c r="O121" s="72">
        <v>0</v>
      </c>
      <c r="P121" s="72">
        <f t="shared" si="35"/>
        <v>138431</v>
      </c>
      <c r="Q121" s="74">
        <v>0</v>
      </c>
      <c r="R121" s="11"/>
      <c r="S121" s="93">
        <f t="shared" si="38"/>
        <v>80279</v>
      </c>
      <c r="T121" s="94"/>
      <c r="U121" s="104"/>
      <c r="X121" s="189">
        <v>67143</v>
      </c>
      <c r="Y121" s="189"/>
      <c r="Z121" s="159">
        <f t="shared" si="36"/>
        <v>67143</v>
      </c>
      <c r="AB121" s="189">
        <v>58152</v>
      </c>
      <c r="AC121" s="189"/>
      <c r="AD121" s="189"/>
      <c r="AE121" s="159">
        <f t="shared" si="37"/>
        <v>58152</v>
      </c>
    </row>
    <row r="122" spans="1:31" x14ac:dyDescent="0.2">
      <c r="A122" s="5"/>
      <c r="B122" s="85">
        <v>3557</v>
      </c>
      <c r="C122" s="73" t="s">
        <v>255</v>
      </c>
      <c r="D122" s="134">
        <f t="shared" si="25"/>
        <v>6301</v>
      </c>
      <c r="E122" s="134">
        <f t="shared" si="26"/>
        <v>0</v>
      </c>
      <c r="F122" s="134">
        <f t="shared" si="27"/>
        <v>0</v>
      </c>
      <c r="G122" s="39">
        <f t="shared" si="28"/>
        <v>6301</v>
      </c>
      <c r="H122" s="71">
        <f t="shared" si="29"/>
        <v>7763</v>
      </c>
      <c r="I122" s="72">
        <f t="shared" si="30"/>
        <v>14064</v>
      </c>
      <c r="J122" s="71">
        <v>7989</v>
      </c>
      <c r="K122" s="39">
        <f t="shared" si="31"/>
        <v>6075</v>
      </c>
      <c r="L122" s="39">
        <f t="shared" si="32"/>
        <v>0</v>
      </c>
      <c r="M122" s="39">
        <f t="shared" si="33"/>
        <v>6075</v>
      </c>
      <c r="N122" s="72">
        <f t="shared" si="34"/>
        <v>14064</v>
      </c>
      <c r="O122" s="72">
        <v>0</v>
      </c>
      <c r="P122" s="72">
        <f t="shared" si="35"/>
        <v>14064</v>
      </c>
      <c r="Q122" s="74">
        <v>0</v>
      </c>
      <c r="R122" s="11"/>
      <c r="S122" s="93">
        <f t="shared" si="38"/>
        <v>7763</v>
      </c>
      <c r="T122" s="94"/>
      <c r="U122" s="104"/>
      <c r="X122" s="189">
        <v>6075</v>
      </c>
      <c r="Y122" s="189"/>
      <c r="Z122" s="159">
        <f t="shared" si="36"/>
        <v>6075</v>
      </c>
      <c r="AB122" s="189">
        <v>6301</v>
      </c>
      <c r="AC122" s="189"/>
      <c r="AD122" s="189"/>
      <c r="AE122" s="159">
        <f t="shared" si="37"/>
        <v>6301</v>
      </c>
    </row>
    <row r="123" spans="1:31" x14ac:dyDescent="0.2">
      <c r="A123" s="5"/>
      <c r="B123" s="85">
        <v>3558</v>
      </c>
      <c r="C123" s="73" t="s">
        <v>280</v>
      </c>
      <c r="D123" s="134">
        <f t="shared" si="25"/>
        <v>10965</v>
      </c>
      <c r="E123" s="134">
        <f t="shared" si="26"/>
        <v>0</v>
      </c>
      <c r="F123" s="134">
        <f t="shared" si="27"/>
        <v>0</v>
      </c>
      <c r="G123" s="39">
        <f t="shared" si="28"/>
        <v>10965</v>
      </c>
      <c r="H123" s="71">
        <f t="shared" si="29"/>
        <v>11813</v>
      </c>
      <c r="I123" s="72">
        <f t="shared" si="30"/>
        <v>22778</v>
      </c>
      <c r="J123" s="71">
        <v>12465</v>
      </c>
      <c r="K123" s="39">
        <f t="shared" si="31"/>
        <v>10313</v>
      </c>
      <c r="L123" s="39">
        <f t="shared" si="32"/>
        <v>0</v>
      </c>
      <c r="M123" s="39">
        <f t="shared" si="33"/>
        <v>10313</v>
      </c>
      <c r="N123" s="72">
        <f t="shared" si="34"/>
        <v>22778</v>
      </c>
      <c r="O123" s="72">
        <v>0</v>
      </c>
      <c r="P123" s="72">
        <f t="shared" si="35"/>
        <v>22778</v>
      </c>
      <c r="Q123" s="74">
        <v>0</v>
      </c>
      <c r="R123" s="11"/>
      <c r="S123" s="93"/>
      <c r="T123" s="94"/>
      <c r="U123" s="104"/>
      <c r="X123" s="189">
        <v>10313</v>
      </c>
      <c r="Y123" s="189"/>
      <c r="Z123" s="159">
        <f t="shared" si="36"/>
        <v>10313</v>
      </c>
      <c r="AB123" s="189">
        <v>10965</v>
      </c>
      <c r="AC123" s="189"/>
      <c r="AD123" s="189"/>
      <c r="AE123" s="159">
        <f t="shared" si="37"/>
        <v>10965</v>
      </c>
    </row>
    <row r="124" spans="1:31" x14ac:dyDescent="0.2">
      <c r="A124" s="5"/>
      <c r="B124" s="85">
        <v>4001</v>
      </c>
      <c r="C124" s="10" t="s">
        <v>115</v>
      </c>
      <c r="D124" s="134">
        <f t="shared" si="25"/>
        <v>0</v>
      </c>
      <c r="E124" s="134">
        <f t="shared" si="26"/>
        <v>0</v>
      </c>
      <c r="F124" s="134">
        <f t="shared" si="27"/>
        <v>0</v>
      </c>
      <c r="G124" s="39">
        <f t="shared" si="28"/>
        <v>0</v>
      </c>
      <c r="H124" s="71">
        <f t="shared" si="29"/>
        <v>220812</v>
      </c>
      <c r="I124" s="72">
        <f t="shared" si="30"/>
        <v>220812</v>
      </c>
      <c r="J124" s="71">
        <v>215312</v>
      </c>
      <c r="K124" s="39">
        <f t="shared" si="31"/>
        <v>5500</v>
      </c>
      <c r="L124" s="39">
        <f t="shared" si="32"/>
        <v>0</v>
      </c>
      <c r="M124" s="39">
        <f t="shared" si="33"/>
        <v>5500</v>
      </c>
      <c r="N124" s="72">
        <f t="shared" si="34"/>
        <v>220812</v>
      </c>
      <c r="O124" s="72">
        <v>0</v>
      </c>
      <c r="P124" s="72">
        <f t="shared" si="35"/>
        <v>220812</v>
      </c>
      <c r="Q124" s="74">
        <v>0</v>
      </c>
      <c r="R124" s="11">
        <f t="shared" si="39"/>
        <v>0</v>
      </c>
      <c r="S124" s="93">
        <f t="shared" si="38"/>
        <v>220812</v>
      </c>
      <c r="T124" s="94" t="e">
        <f t="shared" si="42"/>
        <v>#DIV/0!</v>
      </c>
      <c r="U124" s="104">
        <f t="shared" si="40"/>
        <v>220812</v>
      </c>
      <c r="X124" s="189">
        <v>5500</v>
      </c>
      <c r="Y124" s="189"/>
      <c r="Z124" s="159">
        <f t="shared" si="36"/>
        <v>5500</v>
      </c>
      <c r="AB124" s="189"/>
      <c r="AC124" s="189"/>
      <c r="AD124" s="189"/>
      <c r="AE124" s="159">
        <f t="shared" si="37"/>
        <v>0</v>
      </c>
    </row>
    <row r="125" spans="1:31" x14ac:dyDescent="0.2">
      <c r="A125" s="5"/>
      <c r="B125" s="85">
        <v>4002</v>
      </c>
      <c r="C125" s="10" t="s">
        <v>116</v>
      </c>
      <c r="D125" s="134">
        <f t="shared" si="25"/>
        <v>0</v>
      </c>
      <c r="E125" s="134">
        <f t="shared" si="26"/>
        <v>90000</v>
      </c>
      <c r="F125" s="134">
        <f t="shared" si="27"/>
        <v>0</v>
      </c>
      <c r="G125" s="39">
        <f t="shared" si="28"/>
        <v>90000</v>
      </c>
      <c r="H125" s="71">
        <f t="shared" si="29"/>
        <v>1080413</v>
      </c>
      <c r="I125" s="72">
        <f t="shared" si="30"/>
        <v>1170413</v>
      </c>
      <c r="J125" s="71">
        <v>1059213</v>
      </c>
      <c r="K125" s="39">
        <f t="shared" si="31"/>
        <v>29000</v>
      </c>
      <c r="L125" s="39">
        <f t="shared" si="32"/>
        <v>82200</v>
      </c>
      <c r="M125" s="39">
        <f t="shared" si="33"/>
        <v>111200</v>
      </c>
      <c r="N125" s="72">
        <f t="shared" si="34"/>
        <v>1170413</v>
      </c>
      <c r="O125" s="72">
        <v>0</v>
      </c>
      <c r="P125" s="72">
        <f t="shared" si="35"/>
        <v>1170413</v>
      </c>
      <c r="Q125" s="74">
        <v>0</v>
      </c>
      <c r="R125" s="95">
        <f t="shared" si="39"/>
        <v>0</v>
      </c>
      <c r="S125" s="93">
        <f t="shared" si="38"/>
        <v>1080413</v>
      </c>
      <c r="T125" s="94">
        <f t="shared" si="42"/>
        <v>12.00458888888889</v>
      </c>
      <c r="U125" s="104">
        <f t="shared" si="40"/>
        <v>1080413</v>
      </c>
      <c r="X125" s="189">
        <v>29000</v>
      </c>
      <c r="Y125" s="189">
        <v>82200</v>
      </c>
      <c r="Z125" s="159">
        <f t="shared" si="36"/>
        <v>111200</v>
      </c>
      <c r="AB125" s="189"/>
      <c r="AC125" s="189">
        <v>90000</v>
      </c>
      <c r="AD125" s="189"/>
      <c r="AE125" s="159">
        <f t="shared" si="37"/>
        <v>90000</v>
      </c>
    </row>
    <row r="126" spans="1:31" x14ac:dyDescent="0.2">
      <c r="A126" s="5"/>
      <c r="B126" s="85">
        <v>4003</v>
      </c>
      <c r="C126" s="10" t="s">
        <v>146</v>
      </c>
      <c r="D126" s="134">
        <f t="shared" si="25"/>
        <v>0</v>
      </c>
      <c r="E126" s="134">
        <f t="shared" si="26"/>
        <v>0</v>
      </c>
      <c r="F126" s="134">
        <f t="shared" si="27"/>
        <v>0</v>
      </c>
      <c r="G126" s="39">
        <f t="shared" si="28"/>
        <v>0</v>
      </c>
      <c r="H126" s="71">
        <f t="shared" si="29"/>
        <v>86304</v>
      </c>
      <c r="I126" s="72">
        <f t="shared" si="30"/>
        <v>86304</v>
      </c>
      <c r="J126" s="71">
        <v>68604</v>
      </c>
      <c r="K126" s="39">
        <f t="shared" si="31"/>
        <v>1400</v>
      </c>
      <c r="L126" s="39">
        <f t="shared" si="32"/>
        <v>16300</v>
      </c>
      <c r="M126" s="39">
        <f t="shared" si="33"/>
        <v>17700</v>
      </c>
      <c r="N126" s="72">
        <f t="shared" si="34"/>
        <v>86304</v>
      </c>
      <c r="O126" s="72">
        <v>0</v>
      </c>
      <c r="P126" s="72">
        <f t="shared" si="35"/>
        <v>86304</v>
      </c>
      <c r="Q126" s="74">
        <v>0</v>
      </c>
      <c r="R126" s="11">
        <f t="shared" si="39"/>
        <v>0</v>
      </c>
      <c r="S126" s="93">
        <f t="shared" si="38"/>
        <v>86304</v>
      </c>
      <c r="T126" s="94" t="e">
        <f t="shared" si="42"/>
        <v>#DIV/0!</v>
      </c>
      <c r="U126" s="104">
        <f t="shared" si="40"/>
        <v>86304</v>
      </c>
      <c r="X126" s="189">
        <v>1400</v>
      </c>
      <c r="Y126" s="189">
        <v>16300</v>
      </c>
      <c r="Z126" s="159">
        <f t="shared" si="36"/>
        <v>17700</v>
      </c>
      <c r="AB126" s="189"/>
      <c r="AC126" s="189"/>
      <c r="AD126" s="189"/>
      <c r="AE126" s="159">
        <f t="shared" si="37"/>
        <v>0</v>
      </c>
    </row>
    <row r="127" spans="1:31" x14ac:dyDescent="0.2">
      <c r="A127" s="5"/>
      <c r="B127" s="85">
        <v>4004</v>
      </c>
      <c r="C127" s="10" t="s">
        <v>147</v>
      </c>
      <c r="D127" s="134">
        <f t="shared" si="25"/>
        <v>0</v>
      </c>
      <c r="E127" s="134">
        <f t="shared" si="26"/>
        <v>23000</v>
      </c>
      <c r="F127" s="134">
        <f t="shared" si="27"/>
        <v>0</v>
      </c>
      <c r="G127" s="39">
        <f t="shared" si="28"/>
        <v>23000</v>
      </c>
      <c r="H127" s="71">
        <f t="shared" si="29"/>
        <v>68657</v>
      </c>
      <c r="I127" s="72">
        <f t="shared" si="30"/>
        <v>91657</v>
      </c>
      <c r="J127" s="71">
        <v>73257</v>
      </c>
      <c r="K127" s="39">
        <f t="shared" si="31"/>
        <v>2400</v>
      </c>
      <c r="L127" s="39">
        <f t="shared" si="32"/>
        <v>16000</v>
      </c>
      <c r="M127" s="39">
        <f t="shared" si="33"/>
        <v>18400</v>
      </c>
      <c r="N127" s="72">
        <f t="shared" si="34"/>
        <v>91657</v>
      </c>
      <c r="O127" s="72">
        <v>0</v>
      </c>
      <c r="P127" s="72">
        <f t="shared" si="35"/>
        <v>91657</v>
      </c>
      <c r="Q127" s="74">
        <v>0</v>
      </c>
      <c r="R127" s="11">
        <f t="shared" si="39"/>
        <v>0</v>
      </c>
      <c r="S127" s="93">
        <f t="shared" si="38"/>
        <v>68657</v>
      </c>
      <c r="T127" s="94">
        <f t="shared" si="42"/>
        <v>2.9850869565217391</v>
      </c>
      <c r="U127" s="104">
        <f t="shared" si="40"/>
        <v>68657</v>
      </c>
      <c r="X127" s="189">
        <v>2400</v>
      </c>
      <c r="Y127" s="189">
        <v>16000</v>
      </c>
      <c r="Z127" s="159">
        <f t="shared" si="36"/>
        <v>18400</v>
      </c>
      <c r="AB127" s="189"/>
      <c r="AC127" s="189">
        <v>23000</v>
      </c>
      <c r="AD127" s="189"/>
      <c r="AE127" s="159">
        <f t="shared" si="37"/>
        <v>23000</v>
      </c>
    </row>
    <row r="128" spans="1:31" x14ac:dyDescent="0.2">
      <c r="A128" s="5"/>
      <c r="B128" s="85">
        <v>4005</v>
      </c>
      <c r="C128" s="10" t="s">
        <v>117</v>
      </c>
      <c r="D128" s="134">
        <f t="shared" si="25"/>
        <v>0</v>
      </c>
      <c r="E128" s="134">
        <f t="shared" si="26"/>
        <v>65000</v>
      </c>
      <c r="F128" s="134">
        <f t="shared" si="27"/>
        <v>0</v>
      </c>
      <c r="G128" s="39">
        <f t="shared" si="28"/>
        <v>65000</v>
      </c>
      <c r="H128" s="71">
        <f t="shared" si="29"/>
        <v>80235</v>
      </c>
      <c r="I128" s="72">
        <f t="shared" si="30"/>
        <v>145235</v>
      </c>
      <c r="J128" s="71">
        <v>73910</v>
      </c>
      <c r="K128" s="39">
        <f t="shared" si="31"/>
        <v>400</v>
      </c>
      <c r="L128" s="39">
        <f t="shared" si="32"/>
        <v>70925</v>
      </c>
      <c r="M128" s="39">
        <f t="shared" si="33"/>
        <v>71325</v>
      </c>
      <c r="N128" s="72">
        <f t="shared" si="34"/>
        <v>145235</v>
      </c>
      <c r="O128" s="72">
        <v>0</v>
      </c>
      <c r="P128" s="72">
        <f t="shared" si="35"/>
        <v>145235</v>
      </c>
      <c r="Q128" s="74">
        <v>0</v>
      </c>
      <c r="R128" s="11">
        <f t="shared" si="39"/>
        <v>0</v>
      </c>
      <c r="S128" s="93">
        <f t="shared" si="38"/>
        <v>80235</v>
      </c>
      <c r="T128" s="94">
        <f t="shared" si="42"/>
        <v>1.2343846153846154</v>
      </c>
      <c r="U128" s="104">
        <f t="shared" si="40"/>
        <v>80235</v>
      </c>
      <c r="X128" s="189">
        <v>400</v>
      </c>
      <c r="Y128" s="189">
        <v>70925</v>
      </c>
      <c r="Z128" s="159">
        <f t="shared" si="36"/>
        <v>71325</v>
      </c>
      <c r="AB128" s="189"/>
      <c r="AC128" s="189">
        <v>65000</v>
      </c>
      <c r="AD128" s="189"/>
      <c r="AE128" s="159">
        <f t="shared" si="37"/>
        <v>65000</v>
      </c>
    </row>
    <row r="129" spans="1:31" x14ac:dyDescent="0.2">
      <c r="A129" s="5"/>
      <c r="B129" s="85">
        <v>4006</v>
      </c>
      <c r="C129" s="73" t="s">
        <v>160</v>
      </c>
      <c r="D129" s="134">
        <f t="shared" si="25"/>
        <v>0</v>
      </c>
      <c r="E129" s="134">
        <f t="shared" si="26"/>
        <v>259500</v>
      </c>
      <c r="F129" s="134">
        <f t="shared" si="27"/>
        <v>0</v>
      </c>
      <c r="G129" s="39">
        <f t="shared" si="28"/>
        <v>259500</v>
      </c>
      <c r="H129" s="71">
        <f t="shared" si="29"/>
        <v>518856</v>
      </c>
      <c r="I129" s="72">
        <f t="shared" si="30"/>
        <v>778356</v>
      </c>
      <c r="J129" s="71">
        <v>644523</v>
      </c>
      <c r="K129" s="39">
        <f t="shared" si="31"/>
        <v>15500</v>
      </c>
      <c r="L129" s="39">
        <f t="shared" si="32"/>
        <v>118333</v>
      </c>
      <c r="M129" s="39">
        <f t="shared" si="33"/>
        <v>133833</v>
      </c>
      <c r="N129" s="72">
        <f t="shared" si="34"/>
        <v>778356</v>
      </c>
      <c r="O129" s="72">
        <v>0</v>
      </c>
      <c r="P129" s="72">
        <f t="shared" si="35"/>
        <v>778356</v>
      </c>
      <c r="Q129" s="74">
        <v>0</v>
      </c>
      <c r="R129" s="11">
        <f t="shared" si="39"/>
        <v>0</v>
      </c>
      <c r="S129" s="93">
        <f t="shared" si="38"/>
        <v>518856</v>
      </c>
      <c r="T129" s="94">
        <f t="shared" si="42"/>
        <v>1.9994450867052023</v>
      </c>
      <c r="U129" s="104">
        <f t="shared" si="40"/>
        <v>518856</v>
      </c>
      <c r="X129" s="189">
        <v>15500</v>
      </c>
      <c r="Y129" s="189">
        <v>118333</v>
      </c>
      <c r="Z129" s="159">
        <f t="shared" si="36"/>
        <v>133833</v>
      </c>
      <c r="AB129" s="189"/>
      <c r="AC129" s="189">
        <v>259500</v>
      </c>
      <c r="AD129" s="189"/>
      <c r="AE129" s="159">
        <f t="shared" si="37"/>
        <v>259500</v>
      </c>
    </row>
    <row r="130" spans="1:31" hidden="1" x14ac:dyDescent="0.2">
      <c r="A130" s="5"/>
      <c r="B130" s="85">
        <v>4007</v>
      </c>
      <c r="C130" s="10" t="s">
        <v>157</v>
      </c>
      <c r="D130" s="134">
        <f t="shared" si="25"/>
        <v>0</v>
      </c>
      <c r="E130" s="134">
        <f t="shared" si="26"/>
        <v>0</v>
      </c>
      <c r="F130" s="134">
        <f t="shared" si="27"/>
        <v>0</v>
      </c>
      <c r="G130" s="39">
        <f t="shared" si="28"/>
        <v>0</v>
      </c>
      <c r="H130" s="71">
        <f t="shared" si="29"/>
        <v>0</v>
      </c>
      <c r="I130" s="72">
        <f t="shared" si="30"/>
        <v>0</v>
      </c>
      <c r="J130" s="71">
        <v>0</v>
      </c>
      <c r="K130" s="39">
        <f t="shared" si="31"/>
        <v>0</v>
      </c>
      <c r="L130" s="39">
        <f t="shared" si="32"/>
        <v>0</v>
      </c>
      <c r="M130" s="39">
        <f t="shared" si="33"/>
        <v>0</v>
      </c>
      <c r="N130" s="72">
        <f t="shared" si="34"/>
        <v>0</v>
      </c>
      <c r="O130" s="72">
        <v>0</v>
      </c>
      <c r="P130" s="72">
        <f t="shared" si="35"/>
        <v>0</v>
      </c>
      <c r="Q130" s="74">
        <v>0</v>
      </c>
      <c r="R130" s="11">
        <f t="shared" si="39"/>
        <v>0</v>
      </c>
      <c r="S130" s="93">
        <f t="shared" si="38"/>
        <v>0</v>
      </c>
      <c r="T130" s="94" t="e">
        <f t="shared" si="42"/>
        <v>#DIV/0!</v>
      </c>
      <c r="U130" s="104">
        <f t="shared" si="40"/>
        <v>0</v>
      </c>
      <c r="X130" s="189"/>
      <c r="Y130" s="189"/>
      <c r="Z130" s="159">
        <f t="shared" si="36"/>
        <v>0</v>
      </c>
      <c r="AB130" s="189"/>
      <c r="AC130" s="189"/>
      <c r="AD130" s="189"/>
      <c r="AE130" s="159">
        <f t="shared" si="37"/>
        <v>0</v>
      </c>
    </row>
    <row r="131" spans="1:31" x14ac:dyDescent="0.2">
      <c r="A131" s="5"/>
      <c r="B131" s="85">
        <v>4008</v>
      </c>
      <c r="C131" s="73" t="s">
        <v>285</v>
      </c>
      <c r="D131" s="134">
        <f t="shared" si="25"/>
        <v>0</v>
      </c>
      <c r="E131" s="134">
        <f t="shared" si="26"/>
        <v>981950</v>
      </c>
      <c r="F131" s="134">
        <f t="shared" si="27"/>
        <v>0</v>
      </c>
      <c r="G131" s="39">
        <f t="shared" si="28"/>
        <v>981950</v>
      </c>
      <c r="H131" s="71">
        <f t="shared" si="29"/>
        <v>312804</v>
      </c>
      <c r="I131" s="72">
        <f t="shared" si="30"/>
        <v>1294754</v>
      </c>
      <c r="J131" s="71">
        <v>998754</v>
      </c>
      <c r="K131" s="39">
        <f t="shared" si="31"/>
        <v>14000</v>
      </c>
      <c r="L131" s="39">
        <f t="shared" si="32"/>
        <v>282000</v>
      </c>
      <c r="M131" s="39">
        <f t="shared" si="33"/>
        <v>296000</v>
      </c>
      <c r="N131" s="72">
        <f t="shared" si="34"/>
        <v>1294754</v>
      </c>
      <c r="O131" s="72">
        <v>0</v>
      </c>
      <c r="P131" s="72">
        <f t="shared" si="35"/>
        <v>1294754</v>
      </c>
      <c r="Q131" s="74">
        <v>0</v>
      </c>
      <c r="R131" s="11">
        <f t="shared" si="39"/>
        <v>0</v>
      </c>
      <c r="S131" s="93">
        <f t="shared" si="38"/>
        <v>312804</v>
      </c>
      <c r="T131" s="94">
        <f t="shared" si="42"/>
        <v>0.31855389785630633</v>
      </c>
      <c r="U131" s="104">
        <f t="shared" si="40"/>
        <v>312804</v>
      </c>
      <c r="X131" s="189">
        <v>14000</v>
      </c>
      <c r="Y131" s="189">
        <v>282000</v>
      </c>
      <c r="Z131" s="159">
        <f t="shared" si="36"/>
        <v>296000</v>
      </c>
      <c r="AB131" s="189"/>
      <c r="AC131" s="189">
        <v>981950</v>
      </c>
      <c r="AD131" s="189"/>
      <c r="AE131" s="159">
        <f t="shared" si="37"/>
        <v>981950</v>
      </c>
    </row>
    <row r="132" spans="1:31" x14ac:dyDescent="0.2">
      <c r="A132" s="5"/>
      <c r="B132" s="85">
        <v>4009</v>
      </c>
      <c r="C132" s="10" t="s">
        <v>118</v>
      </c>
      <c r="D132" s="134">
        <f t="shared" si="25"/>
        <v>0</v>
      </c>
      <c r="E132" s="134">
        <f t="shared" si="26"/>
        <v>1341465</v>
      </c>
      <c r="F132" s="134">
        <f t="shared" si="27"/>
        <v>0</v>
      </c>
      <c r="G132" s="39">
        <f t="shared" si="28"/>
        <v>1341465</v>
      </c>
      <c r="H132" s="71">
        <f t="shared" si="29"/>
        <v>373484</v>
      </c>
      <c r="I132" s="72">
        <f t="shared" si="30"/>
        <v>1714949</v>
      </c>
      <c r="J132" s="71">
        <v>311184</v>
      </c>
      <c r="K132" s="39">
        <f t="shared" si="31"/>
        <v>58500</v>
      </c>
      <c r="L132" s="39">
        <f t="shared" si="32"/>
        <v>1345265</v>
      </c>
      <c r="M132" s="39">
        <f t="shared" si="33"/>
        <v>1403765</v>
      </c>
      <c r="N132" s="72">
        <f t="shared" si="34"/>
        <v>1714949</v>
      </c>
      <c r="O132" s="72">
        <v>0</v>
      </c>
      <c r="P132" s="72">
        <f t="shared" si="35"/>
        <v>1714949</v>
      </c>
      <c r="Q132" s="74">
        <v>0</v>
      </c>
      <c r="R132" s="11">
        <f t="shared" si="39"/>
        <v>0</v>
      </c>
      <c r="S132" s="93">
        <f t="shared" si="38"/>
        <v>373484</v>
      </c>
      <c r="T132" s="94">
        <f t="shared" si="42"/>
        <v>0.27841501641861693</v>
      </c>
      <c r="U132" s="104">
        <f t="shared" si="40"/>
        <v>373484</v>
      </c>
      <c r="X132" s="189">
        <v>58500</v>
      </c>
      <c r="Y132" s="189">
        <v>1345265</v>
      </c>
      <c r="Z132" s="159">
        <f t="shared" si="36"/>
        <v>1403765</v>
      </c>
      <c r="AB132" s="189"/>
      <c r="AC132" s="189">
        <v>1341465</v>
      </c>
      <c r="AD132" s="189"/>
      <c r="AE132" s="159">
        <f t="shared" si="37"/>
        <v>1341465</v>
      </c>
    </row>
    <row r="133" spans="1:31" x14ac:dyDescent="0.2">
      <c r="A133" s="5"/>
      <c r="B133" s="85">
        <v>4010</v>
      </c>
      <c r="C133" s="10" t="s">
        <v>119</v>
      </c>
      <c r="D133" s="134">
        <f t="shared" ref="D133:D187" si="43">+AB133</f>
        <v>0</v>
      </c>
      <c r="E133" s="134">
        <f t="shared" ref="E133:E187" si="44">+AC133</f>
        <v>41500</v>
      </c>
      <c r="F133" s="134">
        <f t="shared" ref="F133:F187" si="45">+AD133</f>
        <v>0</v>
      </c>
      <c r="G133" s="39">
        <f t="shared" ref="G133:G187" si="46">SUM(D133:F133)</f>
        <v>41500</v>
      </c>
      <c r="H133" s="71">
        <f t="shared" ref="H133:H187" si="47">+P133-G133</f>
        <v>577605</v>
      </c>
      <c r="I133" s="72">
        <f t="shared" ref="I133:I187" si="48">G133+H133</f>
        <v>619105</v>
      </c>
      <c r="J133" s="71">
        <v>537680</v>
      </c>
      <c r="K133" s="39">
        <f t="shared" ref="K133:K187" si="49">+X133</f>
        <v>15000</v>
      </c>
      <c r="L133" s="39">
        <f t="shared" ref="L133:L187" si="50">+Y133</f>
        <v>66425</v>
      </c>
      <c r="M133" s="39">
        <f t="shared" ref="M133:M187" si="51">+K133+L133</f>
        <v>81425</v>
      </c>
      <c r="N133" s="72">
        <f t="shared" ref="N133:N187" si="52">J133+M133</f>
        <v>619105</v>
      </c>
      <c r="O133" s="72">
        <v>0</v>
      </c>
      <c r="P133" s="72">
        <f t="shared" ref="P133:P187" si="53">N133+O133</f>
        <v>619105</v>
      </c>
      <c r="Q133" s="74">
        <v>0</v>
      </c>
      <c r="R133" s="95">
        <f t="shared" si="39"/>
        <v>0</v>
      </c>
      <c r="S133" s="93">
        <f t="shared" si="38"/>
        <v>577605</v>
      </c>
      <c r="T133" s="94">
        <f t="shared" si="42"/>
        <v>13.918192771084337</v>
      </c>
      <c r="U133" s="104">
        <f t="shared" si="40"/>
        <v>577605</v>
      </c>
      <c r="X133" s="189">
        <v>15000</v>
      </c>
      <c r="Y133" s="189">
        <v>66425</v>
      </c>
      <c r="Z133" s="159">
        <f t="shared" ref="Z133:Z187" si="54">SUM(X133:Y133)</f>
        <v>81425</v>
      </c>
      <c r="AB133" s="189"/>
      <c r="AC133" s="189">
        <v>41500</v>
      </c>
      <c r="AD133" s="189"/>
      <c r="AE133" s="159">
        <f t="shared" ref="AE133:AE187" si="55">SUM(AB133:AD133)</f>
        <v>41500</v>
      </c>
    </row>
    <row r="134" spans="1:31" x14ac:dyDescent="0.2">
      <c r="A134" s="5"/>
      <c r="B134" s="85">
        <v>4011</v>
      </c>
      <c r="C134" s="10" t="s">
        <v>120</v>
      </c>
      <c r="D134" s="134">
        <f t="shared" si="43"/>
        <v>0</v>
      </c>
      <c r="E134" s="134">
        <f t="shared" si="44"/>
        <v>0</v>
      </c>
      <c r="F134" s="134">
        <f t="shared" si="45"/>
        <v>0</v>
      </c>
      <c r="G134" s="39">
        <f t="shared" si="46"/>
        <v>0</v>
      </c>
      <c r="H134" s="71">
        <f t="shared" si="47"/>
        <v>670025</v>
      </c>
      <c r="I134" s="72">
        <f t="shared" si="48"/>
        <v>670025</v>
      </c>
      <c r="J134" s="71">
        <v>654025</v>
      </c>
      <c r="K134" s="39">
        <f t="shared" si="49"/>
        <v>16000</v>
      </c>
      <c r="L134" s="39">
        <f t="shared" si="50"/>
        <v>0</v>
      </c>
      <c r="M134" s="39">
        <f t="shared" si="51"/>
        <v>16000</v>
      </c>
      <c r="N134" s="72">
        <f t="shared" si="52"/>
        <v>670025</v>
      </c>
      <c r="O134" s="72">
        <v>0</v>
      </c>
      <c r="P134" s="72">
        <f t="shared" si="53"/>
        <v>670025</v>
      </c>
      <c r="Q134" s="74">
        <v>0</v>
      </c>
      <c r="R134" s="11">
        <f t="shared" si="39"/>
        <v>0</v>
      </c>
      <c r="S134" s="93">
        <f t="shared" si="38"/>
        <v>670025</v>
      </c>
      <c r="T134" s="94" t="e">
        <f t="shared" si="42"/>
        <v>#DIV/0!</v>
      </c>
      <c r="U134" s="104">
        <f t="shared" si="40"/>
        <v>670025</v>
      </c>
      <c r="X134" s="189">
        <v>16000</v>
      </c>
      <c r="Y134" s="189"/>
      <c r="Z134" s="159">
        <f t="shared" si="54"/>
        <v>16000</v>
      </c>
      <c r="AB134" s="189"/>
      <c r="AC134" s="189">
        <v>0</v>
      </c>
      <c r="AD134" s="189"/>
      <c r="AE134" s="159">
        <f t="shared" si="55"/>
        <v>0</v>
      </c>
    </row>
    <row r="135" spans="1:31" x14ac:dyDescent="0.2">
      <c r="A135" s="5"/>
      <c r="B135" s="85">
        <v>4012</v>
      </c>
      <c r="C135" s="10" t="s">
        <v>121</v>
      </c>
      <c r="D135" s="134">
        <f t="shared" si="43"/>
        <v>0</v>
      </c>
      <c r="E135" s="134">
        <f t="shared" si="44"/>
        <v>0</v>
      </c>
      <c r="F135" s="134">
        <f t="shared" si="45"/>
        <v>0</v>
      </c>
      <c r="G135" s="39">
        <f t="shared" si="46"/>
        <v>0</v>
      </c>
      <c r="H135" s="71">
        <f t="shared" si="47"/>
        <v>18273979</v>
      </c>
      <c r="I135" s="72">
        <f t="shared" si="48"/>
        <v>18273979</v>
      </c>
      <c r="J135" s="71">
        <v>16133979</v>
      </c>
      <c r="K135" s="39">
        <f t="shared" si="49"/>
        <v>475000</v>
      </c>
      <c r="L135" s="39">
        <f t="shared" si="50"/>
        <v>1665000</v>
      </c>
      <c r="M135" s="39">
        <f t="shared" si="51"/>
        <v>2140000</v>
      </c>
      <c r="N135" s="72">
        <f t="shared" si="52"/>
        <v>18273979</v>
      </c>
      <c r="O135" s="72">
        <v>0</v>
      </c>
      <c r="P135" s="72">
        <f t="shared" si="53"/>
        <v>18273979</v>
      </c>
      <c r="Q135" s="74">
        <v>0</v>
      </c>
      <c r="R135" s="11">
        <f t="shared" si="39"/>
        <v>0</v>
      </c>
      <c r="S135" s="93">
        <f t="shared" si="38"/>
        <v>18273979</v>
      </c>
      <c r="T135" s="94" t="e">
        <f t="shared" si="42"/>
        <v>#DIV/0!</v>
      </c>
      <c r="U135" s="104">
        <f t="shared" si="40"/>
        <v>18273979</v>
      </c>
      <c r="X135" s="189">
        <v>475000</v>
      </c>
      <c r="Y135" s="189">
        <v>1665000</v>
      </c>
      <c r="Z135" s="159">
        <f t="shared" si="54"/>
        <v>2140000</v>
      </c>
      <c r="AB135" s="189"/>
      <c r="AC135" s="189"/>
      <c r="AD135" s="189"/>
      <c r="AE135" s="159">
        <f t="shared" si="55"/>
        <v>0</v>
      </c>
    </row>
    <row r="136" spans="1:31" hidden="1" x14ac:dyDescent="0.2">
      <c r="A136" s="5"/>
      <c r="B136" s="85">
        <v>4013</v>
      </c>
      <c r="C136" s="10" t="s">
        <v>122</v>
      </c>
      <c r="D136" s="134">
        <f t="shared" si="43"/>
        <v>0</v>
      </c>
      <c r="E136" s="134">
        <f t="shared" si="44"/>
        <v>0</v>
      </c>
      <c r="F136" s="134">
        <f t="shared" si="45"/>
        <v>0</v>
      </c>
      <c r="G136" s="39">
        <f t="shared" si="46"/>
        <v>0</v>
      </c>
      <c r="H136" s="71">
        <f t="shared" si="47"/>
        <v>0</v>
      </c>
      <c r="I136" s="72">
        <f t="shared" si="48"/>
        <v>0</v>
      </c>
      <c r="J136" s="71">
        <v>0</v>
      </c>
      <c r="K136" s="39">
        <f t="shared" si="49"/>
        <v>0</v>
      </c>
      <c r="L136" s="39">
        <f t="shared" si="50"/>
        <v>0</v>
      </c>
      <c r="M136" s="39">
        <f t="shared" si="51"/>
        <v>0</v>
      </c>
      <c r="N136" s="72">
        <f t="shared" si="52"/>
        <v>0</v>
      </c>
      <c r="O136" s="72">
        <v>0</v>
      </c>
      <c r="P136" s="72">
        <f t="shared" si="53"/>
        <v>0</v>
      </c>
      <c r="Q136" s="74">
        <v>0</v>
      </c>
      <c r="R136" s="95"/>
      <c r="S136" s="93">
        <f t="shared" si="38"/>
        <v>0</v>
      </c>
      <c r="T136" s="94" t="e">
        <f t="shared" si="42"/>
        <v>#DIV/0!</v>
      </c>
      <c r="U136" s="104">
        <f t="shared" si="40"/>
        <v>0</v>
      </c>
      <c r="X136" s="189"/>
      <c r="Y136" s="189"/>
      <c r="Z136" s="159">
        <f t="shared" si="54"/>
        <v>0</v>
      </c>
      <c r="AB136" s="189"/>
      <c r="AC136" s="189"/>
      <c r="AD136" s="189"/>
      <c r="AE136" s="159">
        <f t="shared" si="55"/>
        <v>0</v>
      </c>
    </row>
    <row r="137" spans="1:31" x14ac:dyDescent="0.2">
      <c r="A137" s="5"/>
      <c r="B137" s="85">
        <v>4014</v>
      </c>
      <c r="C137" s="10" t="s">
        <v>123</v>
      </c>
      <c r="D137" s="134">
        <f t="shared" si="43"/>
        <v>0</v>
      </c>
      <c r="E137" s="134">
        <f t="shared" si="44"/>
        <v>33822</v>
      </c>
      <c r="F137" s="134">
        <f t="shared" si="45"/>
        <v>0</v>
      </c>
      <c r="G137" s="39">
        <f t="shared" si="46"/>
        <v>33822</v>
      </c>
      <c r="H137" s="71">
        <f t="shared" si="47"/>
        <v>60243</v>
      </c>
      <c r="I137" s="72">
        <f t="shared" si="48"/>
        <v>94065</v>
      </c>
      <c r="J137" s="71">
        <v>77462</v>
      </c>
      <c r="K137" s="39">
        <f t="shared" si="49"/>
        <v>2000</v>
      </c>
      <c r="L137" s="39">
        <f t="shared" si="50"/>
        <v>14603</v>
      </c>
      <c r="M137" s="39">
        <f t="shared" si="51"/>
        <v>16603</v>
      </c>
      <c r="N137" s="72">
        <f t="shared" si="52"/>
        <v>94065</v>
      </c>
      <c r="O137" s="72">
        <v>0</v>
      </c>
      <c r="P137" s="72">
        <f t="shared" si="53"/>
        <v>94065</v>
      </c>
      <c r="Q137" s="74">
        <v>0</v>
      </c>
      <c r="R137" s="11"/>
      <c r="S137" s="93">
        <f t="shared" si="38"/>
        <v>60243</v>
      </c>
      <c r="T137" s="94">
        <f t="shared" si="42"/>
        <v>1.7811779315238603</v>
      </c>
      <c r="U137" s="104">
        <f t="shared" si="40"/>
        <v>60243</v>
      </c>
      <c r="X137" s="189">
        <v>2000</v>
      </c>
      <c r="Y137" s="189">
        <v>14603</v>
      </c>
      <c r="Z137" s="159">
        <f t="shared" si="54"/>
        <v>16603</v>
      </c>
      <c r="AB137" s="189"/>
      <c r="AC137" s="189">
        <v>33822</v>
      </c>
      <c r="AD137" s="189"/>
      <c r="AE137" s="159">
        <f t="shared" si="55"/>
        <v>33822</v>
      </c>
    </row>
    <row r="138" spans="1:31" hidden="1" x14ac:dyDescent="0.2">
      <c r="A138" s="5"/>
      <c r="B138" s="85">
        <v>4015</v>
      </c>
      <c r="C138" s="10" t="s">
        <v>158</v>
      </c>
      <c r="D138" s="134">
        <f t="shared" si="43"/>
        <v>0</v>
      </c>
      <c r="E138" s="134">
        <f t="shared" si="44"/>
        <v>0</v>
      </c>
      <c r="F138" s="134">
        <f t="shared" si="45"/>
        <v>0</v>
      </c>
      <c r="G138" s="39">
        <f t="shared" si="46"/>
        <v>0</v>
      </c>
      <c r="H138" s="71">
        <f t="shared" si="47"/>
        <v>0</v>
      </c>
      <c r="I138" s="72">
        <f t="shared" si="48"/>
        <v>0</v>
      </c>
      <c r="J138" s="71">
        <v>0</v>
      </c>
      <c r="K138" s="39">
        <f t="shared" si="49"/>
        <v>0</v>
      </c>
      <c r="L138" s="39">
        <f t="shared" si="50"/>
        <v>0</v>
      </c>
      <c r="M138" s="39">
        <f t="shared" si="51"/>
        <v>0</v>
      </c>
      <c r="N138" s="72">
        <f t="shared" si="52"/>
        <v>0</v>
      </c>
      <c r="O138" s="72">
        <v>0</v>
      </c>
      <c r="P138" s="72">
        <f t="shared" si="53"/>
        <v>0</v>
      </c>
      <c r="Q138" s="74">
        <v>0</v>
      </c>
      <c r="S138" s="93">
        <f t="shared" si="38"/>
        <v>0</v>
      </c>
      <c r="T138" s="94" t="e">
        <f t="shared" si="42"/>
        <v>#DIV/0!</v>
      </c>
      <c r="U138" s="104">
        <f t="shared" si="40"/>
        <v>0</v>
      </c>
      <c r="X138" s="189"/>
      <c r="Y138" s="189"/>
      <c r="Z138" s="159">
        <f t="shared" si="54"/>
        <v>0</v>
      </c>
      <c r="AB138" s="189"/>
      <c r="AC138" s="189"/>
      <c r="AD138" s="189"/>
      <c r="AE138" s="159">
        <f t="shared" si="55"/>
        <v>0</v>
      </c>
    </row>
    <row r="139" spans="1:31" x14ac:dyDescent="0.2">
      <c r="A139" s="5"/>
      <c r="B139" s="85">
        <v>4016</v>
      </c>
      <c r="C139" s="73" t="s">
        <v>185</v>
      </c>
      <c r="D139" s="134">
        <f t="shared" si="43"/>
        <v>0</v>
      </c>
      <c r="E139" s="134">
        <f t="shared" si="44"/>
        <v>0</v>
      </c>
      <c r="F139" s="134">
        <f t="shared" si="45"/>
        <v>0</v>
      </c>
      <c r="G139" s="39">
        <f t="shared" si="46"/>
        <v>0</v>
      </c>
      <c r="H139" s="71">
        <f t="shared" si="47"/>
        <v>17550</v>
      </c>
      <c r="I139" s="72">
        <f t="shared" si="48"/>
        <v>17550</v>
      </c>
      <c r="J139" s="71">
        <v>5550</v>
      </c>
      <c r="K139" s="39">
        <f t="shared" si="49"/>
        <v>800</v>
      </c>
      <c r="L139" s="39">
        <f t="shared" si="50"/>
        <v>11200</v>
      </c>
      <c r="M139" s="39">
        <f t="shared" si="51"/>
        <v>12000</v>
      </c>
      <c r="N139" s="72">
        <f t="shared" si="52"/>
        <v>17550</v>
      </c>
      <c r="O139" s="72">
        <v>0</v>
      </c>
      <c r="P139" s="72">
        <f t="shared" si="53"/>
        <v>17550</v>
      </c>
      <c r="Q139" s="74">
        <v>0</v>
      </c>
      <c r="S139" s="93">
        <f t="shared" si="38"/>
        <v>17550</v>
      </c>
      <c r="T139" s="94" t="e">
        <f t="shared" si="42"/>
        <v>#DIV/0!</v>
      </c>
      <c r="U139" s="104">
        <f t="shared" si="40"/>
        <v>17550</v>
      </c>
      <c r="X139" s="189">
        <v>800</v>
      </c>
      <c r="Y139" s="189">
        <v>11200</v>
      </c>
      <c r="Z139" s="159">
        <f t="shared" si="54"/>
        <v>12000</v>
      </c>
      <c r="AB139" s="189"/>
      <c r="AC139" s="189"/>
      <c r="AD139" s="189"/>
      <c r="AE139" s="159">
        <f t="shared" si="55"/>
        <v>0</v>
      </c>
    </row>
    <row r="140" spans="1:31" x14ac:dyDescent="0.2">
      <c r="A140" s="5"/>
      <c r="B140" s="85">
        <v>4017</v>
      </c>
      <c r="C140" s="10" t="s">
        <v>124</v>
      </c>
      <c r="D140" s="134">
        <f t="shared" si="43"/>
        <v>89543</v>
      </c>
      <c r="E140" s="134">
        <f t="shared" si="44"/>
        <v>0</v>
      </c>
      <c r="F140" s="134">
        <f t="shared" si="45"/>
        <v>0</v>
      </c>
      <c r="G140" s="39">
        <f t="shared" si="46"/>
        <v>89543</v>
      </c>
      <c r="H140" s="71">
        <f t="shared" si="47"/>
        <v>197691</v>
      </c>
      <c r="I140" s="72">
        <f t="shared" si="48"/>
        <v>287234</v>
      </c>
      <c r="J140" s="71">
        <v>225026</v>
      </c>
      <c r="K140" s="39">
        <f t="shared" si="49"/>
        <v>5508</v>
      </c>
      <c r="L140" s="39">
        <f t="shared" si="50"/>
        <v>56700</v>
      </c>
      <c r="M140" s="39">
        <f t="shared" si="51"/>
        <v>62208</v>
      </c>
      <c r="N140" s="72">
        <f t="shared" si="52"/>
        <v>287234</v>
      </c>
      <c r="O140" s="72">
        <v>0</v>
      </c>
      <c r="P140" s="72">
        <f t="shared" si="53"/>
        <v>287234</v>
      </c>
      <c r="Q140" s="74">
        <v>0</v>
      </c>
      <c r="S140" s="93">
        <f t="shared" si="38"/>
        <v>197691</v>
      </c>
      <c r="T140" s="94">
        <f t="shared" si="42"/>
        <v>2.2077772690215873</v>
      </c>
      <c r="U140" s="104">
        <f t="shared" si="40"/>
        <v>197691</v>
      </c>
      <c r="X140" s="189">
        <v>5508</v>
      </c>
      <c r="Y140" s="189">
        <v>56700</v>
      </c>
      <c r="Z140" s="159">
        <f t="shared" si="54"/>
        <v>62208</v>
      </c>
      <c r="AB140" s="189">
        <v>89543</v>
      </c>
      <c r="AC140" s="189"/>
      <c r="AD140" s="189"/>
      <c r="AE140" s="159">
        <f t="shared" si="55"/>
        <v>89543</v>
      </c>
    </row>
    <row r="141" spans="1:31" x14ac:dyDescent="0.2">
      <c r="A141" s="5"/>
      <c r="B141" s="85">
        <v>4018</v>
      </c>
      <c r="C141" s="10" t="s">
        <v>75</v>
      </c>
      <c r="D141" s="134">
        <f t="shared" si="43"/>
        <v>0</v>
      </c>
      <c r="E141" s="134">
        <f t="shared" si="44"/>
        <v>50782</v>
      </c>
      <c r="F141" s="134">
        <f t="shared" si="45"/>
        <v>0</v>
      </c>
      <c r="G141" s="39">
        <f t="shared" si="46"/>
        <v>50782</v>
      </c>
      <c r="H141" s="71">
        <f t="shared" si="47"/>
        <v>61497</v>
      </c>
      <c r="I141" s="72">
        <f t="shared" si="48"/>
        <v>112279</v>
      </c>
      <c r="J141" s="71">
        <v>92001</v>
      </c>
      <c r="K141" s="39">
        <f t="shared" si="49"/>
        <v>4000</v>
      </c>
      <c r="L141" s="39">
        <f t="shared" si="50"/>
        <v>16278</v>
      </c>
      <c r="M141" s="39">
        <f t="shared" si="51"/>
        <v>20278</v>
      </c>
      <c r="N141" s="72">
        <f t="shared" si="52"/>
        <v>112279</v>
      </c>
      <c r="O141" s="72">
        <v>0</v>
      </c>
      <c r="P141" s="72">
        <f t="shared" si="53"/>
        <v>112279</v>
      </c>
      <c r="Q141" s="74">
        <v>0</v>
      </c>
      <c r="S141" s="93">
        <f t="shared" si="38"/>
        <v>61497</v>
      </c>
      <c r="T141" s="94">
        <f t="shared" si="42"/>
        <v>1.2109999606159663</v>
      </c>
      <c r="U141" s="104">
        <f t="shared" si="40"/>
        <v>61497</v>
      </c>
      <c r="X141" s="189">
        <v>4000</v>
      </c>
      <c r="Y141" s="189">
        <v>16278</v>
      </c>
      <c r="Z141" s="159">
        <f t="shared" si="54"/>
        <v>20278</v>
      </c>
      <c r="AB141" s="189"/>
      <c r="AC141" s="189">
        <v>50782</v>
      </c>
      <c r="AD141" s="189"/>
      <c r="AE141" s="159">
        <f t="shared" si="55"/>
        <v>50782</v>
      </c>
    </row>
    <row r="142" spans="1:31" x14ac:dyDescent="0.2">
      <c r="A142" s="5"/>
      <c r="B142" s="85">
        <v>4019</v>
      </c>
      <c r="C142" s="73" t="s">
        <v>170</v>
      </c>
      <c r="D142" s="134">
        <f t="shared" si="43"/>
        <v>0</v>
      </c>
      <c r="E142" s="134">
        <f t="shared" si="44"/>
        <v>0</v>
      </c>
      <c r="F142" s="134">
        <f t="shared" si="45"/>
        <v>0</v>
      </c>
      <c r="G142" s="39">
        <f t="shared" si="46"/>
        <v>0</v>
      </c>
      <c r="H142" s="71">
        <f t="shared" si="47"/>
        <v>130978</v>
      </c>
      <c r="I142" s="72">
        <f t="shared" si="48"/>
        <v>130978</v>
      </c>
      <c r="J142" s="71">
        <v>110978</v>
      </c>
      <c r="K142" s="39">
        <f t="shared" si="49"/>
        <v>3500</v>
      </c>
      <c r="L142" s="39">
        <f t="shared" si="50"/>
        <v>16500</v>
      </c>
      <c r="M142" s="39">
        <f t="shared" si="51"/>
        <v>20000</v>
      </c>
      <c r="N142" s="72">
        <f t="shared" si="52"/>
        <v>130978</v>
      </c>
      <c r="O142" s="72">
        <v>0</v>
      </c>
      <c r="P142" s="72">
        <f t="shared" si="53"/>
        <v>130978</v>
      </c>
      <c r="Q142" s="74">
        <v>0</v>
      </c>
      <c r="S142" s="93">
        <f t="shared" si="38"/>
        <v>130978</v>
      </c>
      <c r="T142" s="94" t="e">
        <f t="shared" si="42"/>
        <v>#DIV/0!</v>
      </c>
      <c r="U142" s="104">
        <f t="shared" si="40"/>
        <v>130978</v>
      </c>
      <c r="X142" s="189">
        <v>3500</v>
      </c>
      <c r="Y142" s="189">
        <v>16500</v>
      </c>
      <c r="Z142" s="159">
        <f t="shared" si="54"/>
        <v>20000</v>
      </c>
      <c r="AB142" s="189"/>
      <c r="AC142" s="189"/>
      <c r="AD142" s="189"/>
      <c r="AE142" s="159">
        <f t="shared" si="55"/>
        <v>0</v>
      </c>
    </row>
    <row r="143" spans="1:31" x14ac:dyDescent="0.2">
      <c r="A143" s="5"/>
      <c r="B143" s="85">
        <v>4020</v>
      </c>
      <c r="C143" s="10" t="s">
        <v>125</v>
      </c>
      <c r="D143" s="134">
        <f t="shared" si="43"/>
        <v>0</v>
      </c>
      <c r="E143" s="134">
        <f t="shared" si="44"/>
        <v>0</v>
      </c>
      <c r="F143" s="134">
        <f t="shared" si="45"/>
        <v>125000</v>
      </c>
      <c r="G143" s="39">
        <f t="shared" si="46"/>
        <v>125000</v>
      </c>
      <c r="H143" s="71">
        <f t="shared" si="47"/>
        <v>151551</v>
      </c>
      <c r="I143" s="72">
        <f t="shared" si="48"/>
        <v>276551</v>
      </c>
      <c r="J143" s="71">
        <v>251642</v>
      </c>
      <c r="K143" s="39">
        <f t="shared" si="49"/>
        <v>8620</v>
      </c>
      <c r="L143" s="39">
        <f t="shared" si="50"/>
        <v>16289</v>
      </c>
      <c r="M143" s="39">
        <f t="shared" si="51"/>
        <v>24909</v>
      </c>
      <c r="N143" s="72">
        <f t="shared" si="52"/>
        <v>276551</v>
      </c>
      <c r="O143" s="72">
        <v>0</v>
      </c>
      <c r="P143" s="72">
        <f t="shared" si="53"/>
        <v>276551</v>
      </c>
      <c r="Q143" s="74">
        <v>0</v>
      </c>
      <c r="S143" s="93">
        <f t="shared" si="38"/>
        <v>151551</v>
      </c>
      <c r="T143" s="94">
        <f t="shared" si="42"/>
        <v>1.2124079999999999</v>
      </c>
      <c r="U143" s="104">
        <f t="shared" si="40"/>
        <v>151551</v>
      </c>
      <c r="X143" s="189">
        <v>8620</v>
      </c>
      <c r="Y143" s="189">
        <v>16289</v>
      </c>
      <c r="Z143" s="159">
        <f t="shared" si="54"/>
        <v>24909</v>
      </c>
      <c r="AB143" s="189"/>
      <c r="AC143" s="189"/>
      <c r="AD143" s="189">
        <v>125000</v>
      </c>
      <c r="AE143" s="159">
        <f t="shared" si="55"/>
        <v>125000</v>
      </c>
    </row>
    <row r="144" spans="1:31" x14ac:dyDescent="0.2">
      <c r="A144" s="5"/>
      <c r="B144" s="85">
        <v>4021</v>
      </c>
      <c r="C144" s="73" t="s">
        <v>174</v>
      </c>
      <c r="D144" s="134">
        <f t="shared" si="43"/>
        <v>0</v>
      </c>
      <c r="E144" s="134">
        <f t="shared" si="44"/>
        <v>37400</v>
      </c>
      <c r="F144" s="134">
        <f t="shared" si="45"/>
        <v>0</v>
      </c>
      <c r="G144" s="39">
        <f t="shared" si="46"/>
        <v>37400</v>
      </c>
      <c r="H144" s="71">
        <f t="shared" si="47"/>
        <v>11596</v>
      </c>
      <c r="I144" s="72">
        <f t="shared" si="48"/>
        <v>48996</v>
      </c>
      <c r="J144" s="71">
        <v>43246</v>
      </c>
      <c r="K144" s="39">
        <f t="shared" si="49"/>
        <v>1000</v>
      </c>
      <c r="L144" s="39">
        <f t="shared" si="50"/>
        <v>4750</v>
      </c>
      <c r="M144" s="39">
        <f t="shared" si="51"/>
        <v>5750</v>
      </c>
      <c r="N144" s="72">
        <f t="shared" si="52"/>
        <v>48996</v>
      </c>
      <c r="O144" s="72">
        <v>0</v>
      </c>
      <c r="P144" s="72">
        <f t="shared" si="53"/>
        <v>48996</v>
      </c>
      <c r="Q144" s="74">
        <v>0</v>
      </c>
      <c r="S144" s="93">
        <f t="shared" si="38"/>
        <v>11596</v>
      </c>
      <c r="T144" s="94">
        <f t="shared" si="42"/>
        <v>0.31005347593582888</v>
      </c>
      <c r="U144" s="104">
        <f t="shared" si="40"/>
        <v>11596</v>
      </c>
      <c r="X144" s="189">
        <v>1000</v>
      </c>
      <c r="Y144" s="189">
        <v>4750</v>
      </c>
      <c r="Z144" s="159">
        <f t="shared" si="54"/>
        <v>5750</v>
      </c>
      <c r="AB144" s="189"/>
      <c r="AC144" s="189">
        <v>37400</v>
      </c>
      <c r="AD144" s="189"/>
      <c r="AE144" s="159">
        <f t="shared" si="55"/>
        <v>37400</v>
      </c>
    </row>
    <row r="145" spans="1:31" x14ac:dyDescent="0.2">
      <c r="A145" s="5"/>
      <c r="B145" s="85">
        <v>4022</v>
      </c>
      <c r="C145" s="73" t="s">
        <v>175</v>
      </c>
      <c r="D145" s="134">
        <f t="shared" si="43"/>
        <v>0</v>
      </c>
      <c r="E145" s="134">
        <f t="shared" si="44"/>
        <v>13500</v>
      </c>
      <c r="F145" s="134">
        <f t="shared" si="45"/>
        <v>0</v>
      </c>
      <c r="G145" s="39">
        <f t="shared" si="46"/>
        <v>13500</v>
      </c>
      <c r="H145" s="71">
        <f t="shared" si="47"/>
        <v>10059</v>
      </c>
      <c r="I145" s="72">
        <f t="shared" si="48"/>
        <v>23559</v>
      </c>
      <c r="J145" s="71">
        <v>21059</v>
      </c>
      <c r="K145" s="39">
        <f t="shared" si="49"/>
        <v>300</v>
      </c>
      <c r="L145" s="39">
        <f t="shared" si="50"/>
        <v>2200</v>
      </c>
      <c r="M145" s="39">
        <f t="shared" si="51"/>
        <v>2500</v>
      </c>
      <c r="N145" s="72">
        <f t="shared" si="52"/>
        <v>23559</v>
      </c>
      <c r="O145" s="72">
        <v>0</v>
      </c>
      <c r="P145" s="72">
        <f t="shared" si="53"/>
        <v>23559</v>
      </c>
      <c r="Q145" s="74">
        <v>0</v>
      </c>
      <c r="S145" s="93">
        <f t="shared" si="38"/>
        <v>10059</v>
      </c>
      <c r="T145" s="94">
        <f t="shared" si="42"/>
        <v>0.74511111111111106</v>
      </c>
      <c r="U145" s="104">
        <f t="shared" si="40"/>
        <v>10059</v>
      </c>
      <c r="X145" s="189">
        <v>300</v>
      </c>
      <c r="Y145" s="189">
        <v>2200</v>
      </c>
      <c r="Z145" s="159">
        <f t="shared" si="54"/>
        <v>2500</v>
      </c>
      <c r="AB145" s="189"/>
      <c r="AC145" s="189">
        <v>13500</v>
      </c>
      <c r="AD145" s="189"/>
      <c r="AE145" s="159">
        <f t="shared" si="55"/>
        <v>13500</v>
      </c>
    </row>
    <row r="146" spans="1:31" x14ac:dyDescent="0.2">
      <c r="A146" s="5"/>
      <c r="B146" s="85">
        <v>4023</v>
      </c>
      <c r="C146" s="73" t="s">
        <v>191</v>
      </c>
      <c r="D146" s="134">
        <f t="shared" si="43"/>
        <v>0</v>
      </c>
      <c r="E146" s="134">
        <f t="shared" si="44"/>
        <v>0</v>
      </c>
      <c r="F146" s="134">
        <f t="shared" si="45"/>
        <v>0</v>
      </c>
      <c r="G146" s="39">
        <f t="shared" si="46"/>
        <v>0</v>
      </c>
      <c r="H146" s="71">
        <f t="shared" si="47"/>
        <v>127428</v>
      </c>
      <c r="I146" s="72">
        <f t="shared" si="48"/>
        <v>127428</v>
      </c>
      <c r="J146" s="71">
        <v>124028</v>
      </c>
      <c r="K146" s="39">
        <f t="shared" si="49"/>
        <v>3400</v>
      </c>
      <c r="L146" s="39">
        <f t="shared" si="50"/>
        <v>0</v>
      </c>
      <c r="M146" s="39">
        <f t="shared" si="51"/>
        <v>3400</v>
      </c>
      <c r="N146" s="72">
        <f t="shared" si="52"/>
        <v>127428</v>
      </c>
      <c r="O146" s="72">
        <v>0</v>
      </c>
      <c r="P146" s="72">
        <f t="shared" si="53"/>
        <v>127428</v>
      </c>
      <c r="Q146" s="74">
        <v>0</v>
      </c>
      <c r="S146" s="93">
        <f t="shared" si="38"/>
        <v>127428</v>
      </c>
      <c r="T146" s="94"/>
      <c r="U146" s="104">
        <f t="shared" si="40"/>
        <v>127428</v>
      </c>
      <c r="X146" s="189">
        <v>3400</v>
      </c>
      <c r="Y146" s="189"/>
      <c r="Z146" s="159">
        <f t="shared" si="54"/>
        <v>3400</v>
      </c>
      <c r="AB146" s="189"/>
      <c r="AC146" s="189"/>
      <c r="AD146" s="189"/>
      <c r="AE146" s="159">
        <f t="shared" si="55"/>
        <v>0</v>
      </c>
    </row>
    <row r="147" spans="1:31" x14ac:dyDescent="0.2">
      <c r="A147" s="5"/>
      <c r="B147" s="85">
        <v>4024</v>
      </c>
      <c r="C147" s="73" t="s">
        <v>207</v>
      </c>
      <c r="D147" s="134">
        <f t="shared" si="43"/>
        <v>0</v>
      </c>
      <c r="E147" s="134">
        <f t="shared" si="44"/>
        <v>0</v>
      </c>
      <c r="F147" s="134">
        <f t="shared" si="45"/>
        <v>0</v>
      </c>
      <c r="G147" s="39">
        <f t="shared" si="46"/>
        <v>0</v>
      </c>
      <c r="H147" s="71">
        <f t="shared" si="47"/>
        <v>83779</v>
      </c>
      <c r="I147" s="72">
        <f t="shared" si="48"/>
        <v>83779</v>
      </c>
      <c r="J147" s="71">
        <v>66351</v>
      </c>
      <c r="K147" s="39">
        <f t="shared" si="49"/>
        <v>3100</v>
      </c>
      <c r="L147" s="39">
        <f t="shared" si="50"/>
        <v>14328</v>
      </c>
      <c r="M147" s="39">
        <f t="shared" si="51"/>
        <v>17428</v>
      </c>
      <c r="N147" s="72">
        <f t="shared" si="52"/>
        <v>83779</v>
      </c>
      <c r="O147" s="72">
        <v>0</v>
      </c>
      <c r="P147" s="72">
        <f t="shared" si="53"/>
        <v>83779</v>
      </c>
      <c r="Q147" s="74">
        <v>0</v>
      </c>
      <c r="S147" s="93">
        <f t="shared" si="38"/>
        <v>83779</v>
      </c>
      <c r="T147" s="94"/>
      <c r="U147" s="104"/>
      <c r="X147" s="189">
        <v>3100</v>
      </c>
      <c r="Y147" s="189">
        <v>14328</v>
      </c>
      <c r="Z147" s="159">
        <f t="shared" si="54"/>
        <v>17428</v>
      </c>
      <c r="AB147" s="189"/>
      <c r="AC147" s="189"/>
      <c r="AD147" s="189"/>
      <c r="AE147" s="159">
        <f t="shared" si="55"/>
        <v>0</v>
      </c>
    </row>
    <row r="148" spans="1:31" x14ac:dyDescent="0.2">
      <c r="A148" s="5"/>
      <c r="B148" s="85">
        <v>4025</v>
      </c>
      <c r="C148" s="73" t="s">
        <v>275</v>
      </c>
      <c r="D148" s="134">
        <f t="shared" si="43"/>
        <v>0</v>
      </c>
      <c r="E148" s="134">
        <f t="shared" si="44"/>
        <v>2776000</v>
      </c>
      <c r="F148" s="134">
        <f t="shared" si="45"/>
        <v>0</v>
      </c>
      <c r="G148" s="39">
        <f t="shared" si="46"/>
        <v>2776000</v>
      </c>
      <c r="H148" s="71">
        <f t="shared" si="47"/>
        <v>890210</v>
      </c>
      <c r="I148" s="72">
        <f t="shared" si="48"/>
        <v>3666210</v>
      </c>
      <c r="J148" s="71">
        <v>1879210</v>
      </c>
      <c r="K148" s="39">
        <f t="shared" si="49"/>
        <v>1389000</v>
      </c>
      <c r="L148" s="39">
        <f t="shared" si="50"/>
        <v>398000</v>
      </c>
      <c r="M148" s="39">
        <f t="shared" si="51"/>
        <v>1787000</v>
      </c>
      <c r="N148" s="72">
        <f t="shared" si="52"/>
        <v>3666210</v>
      </c>
      <c r="O148" s="72">
        <v>0</v>
      </c>
      <c r="P148" s="72">
        <f t="shared" si="53"/>
        <v>3666210</v>
      </c>
      <c r="Q148" s="74">
        <v>0</v>
      </c>
      <c r="S148" s="93"/>
      <c r="T148" s="94"/>
      <c r="U148" s="104"/>
      <c r="X148" s="189">
        <v>1389000</v>
      </c>
      <c r="Y148" s="189">
        <v>398000</v>
      </c>
      <c r="Z148" s="159">
        <f t="shared" si="54"/>
        <v>1787000</v>
      </c>
      <c r="AB148" s="189"/>
      <c r="AC148" s="189">
        <v>2776000</v>
      </c>
      <c r="AD148" s="189"/>
      <c r="AE148" s="159">
        <f t="shared" si="55"/>
        <v>2776000</v>
      </c>
    </row>
    <row r="149" spans="1:31" x14ac:dyDescent="0.2">
      <c r="A149" s="5"/>
      <c r="B149" s="85">
        <v>4027</v>
      </c>
      <c r="C149" s="10" t="s">
        <v>126</v>
      </c>
      <c r="D149" s="134">
        <f t="shared" si="43"/>
        <v>0</v>
      </c>
      <c r="E149" s="134">
        <f t="shared" si="44"/>
        <v>2720251</v>
      </c>
      <c r="F149" s="134">
        <f t="shared" si="45"/>
        <v>0</v>
      </c>
      <c r="G149" s="39">
        <f t="shared" si="46"/>
        <v>2720251</v>
      </c>
      <c r="H149" s="71">
        <f t="shared" si="47"/>
        <v>-52540</v>
      </c>
      <c r="I149" s="72">
        <f t="shared" si="48"/>
        <v>2667711</v>
      </c>
      <c r="J149" s="71">
        <v>1677221</v>
      </c>
      <c r="K149" s="39">
        <f t="shared" si="49"/>
        <v>140490</v>
      </c>
      <c r="L149" s="39">
        <f t="shared" si="50"/>
        <v>850000</v>
      </c>
      <c r="M149" s="39">
        <f t="shared" si="51"/>
        <v>990490</v>
      </c>
      <c r="N149" s="72">
        <f t="shared" si="52"/>
        <v>2667711</v>
      </c>
      <c r="O149" s="72">
        <v>0</v>
      </c>
      <c r="P149" s="72">
        <f t="shared" si="53"/>
        <v>2667711</v>
      </c>
      <c r="Q149" s="74">
        <v>0</v>
      </c>
      <c r="S149" s="93">
        <f t="shared" si="38"/>
        <v>-52540</v>
      </c>
      <c r="T149" s="94">
        <f t="shared" si="42"/>
        <v>-1.9314394149657514E-2</v>
      </c>
      <c r="U149" s="104">
        <f t="shared" si="40"/>
        <v>-52540</v>
      </c>
      <c r="X149" s="189">
        <v>140490</v>
      </c>
      <c r="Y149" s="189">
        <v>850000</v>
      </c>
      <c r="Z149" s="159">
        <f t="shared" si="54"/>
        <v>990490</v>
      </c>
      <c r="AB149" s="189"/>
      <c r="AC149" s="189">
        <v>2720251</v>
      </c>
      <c r="AD149" s="189"/>
      <c r="AE149" s="159">
        <f t="shared" si="55"/>
        <v>2720251</v>
      </c>
    </row>
    <row r="150" spans="1:31" x14ac:dyDescent="0.2">
      <c r="A150" s="5"/>
      <c r="B150" s="85">
        <v>4028</v>
      </c>
      <c r="C150" s="73" t="s">
        <v>173</v>
      </c>
      <c r="D150" s="134">
        <f t="shared" si="43"/>
        <v>0</v>
      </c>
      <c r="E150" s="134">
        <f t="shared" si="44"/>
        <v>169456</v>
      </c>
      <c r="F150" s="134">
        <f t="shared" si="45"/>
        <v>0</v>
      </c>
      <c r="G150" s="39">
        <f t="shared" si="46"/>
        <v>169456</v>
      </c>
      <c r="H150" s="71">
        <f t="shared" si="47"/>
        <v>125265</v>
      </c>
      <c r="I150" s="72">
        <f t="shared" si="48"/>
        <v>294721</v>
      </c>
      <c r="J150" s="71">
        <v>84521</v>
      </c>
      <c r="K150" s="39">
        <f t="shared" si="49"/>
        <v>8200</v>
      </c>
      <c r="L150" s="39">
        <f t="shared" si="50"/>
        <v>202000</v>
      </c>
      <c r="M150" s="39">
        <f t="shared" si="51"/>
        <v>210200</v>
      </c>
      <c r="N150" s="72">
        <f t="shared" si="52"/>
        <v>294721</v>
      </c>
      <c r="O150" s="72">
        <v>0</v>
      </c>
      <c r="P150" s="72">
        <f t="shared" si="53"/>
        <v>294721</v>
      </c>
      <c r="Q150" s="74">
        <v>0</v>
      </c>
      <c r="S150" s="93">
        <f t="shared" ref="S150:S187" si="56">+P150-G150</f>
        <v>125265</v>
      </c>
      <c r="T150" s="94">
        <f t="shared" si="42"/>
        <v>0.73921844018506278</v>
      </c>
      <c r="U150" s="104">
        <f t="shared" si="40"/>
        <v>125265</v>
      </c>
      <c r="X150" s="189">
        <v>8200</v>
      </c>
      <c r="Y150" s="189">
        <v>202000</v>
      </c>
      <c r="Z150" s="159">
        <f t="shared" si="54"/>
        <v>210200</v>
      </c>
      <c r="AB150" s="189"/>
      <c r="AC150" s="189">
        <v>169456</v>
      </c>
      <c r="AD150" s="189"/>
      <c r="AE150" s="159">
        <f t="shared" si="55"/>
        <v>169456</v>
      </c>
    </row>
    <row r="151" spans="1:31" x14ac:dyDescent="0.2">
      <c r="A151" s="5"/>
      <c r="B151" s="85">
        <v>4029</v>
      </c>
      <c r="C151" s="73" t="s">
        <v>279</v>
      </c>
      <c r="D151" s="134">
        <f t="shared" si="43"/>
        <v>0</v>
      </c>
      <c r="E151" s="134">
        <f t="shared" si="44"/>
        <v>0</v>
      </c>
      <c r="F151" s="134">
        <f t="shared" si="45"/>
        <v>0</v>
      </c>
      <c r="G151" s="39">
        <f t="shared" si="46"/>
        <v>0</v>
      </c>
      <c r="H151" s="71">
        <f t="shared" si="47"/>
        <v>145000</v>
      </c>
      <c r="I151" s="72">
        <f t="shared" si="48"/>
        <v>145000</v>
      </c>
      <c r="J151" s="71">
        <v>20000</v>
      </c>
      <c r="K151" s="39">
        <f t="shared" si="49"/>
        <v>0</v>
      </c>
      <c r="L151" s="39">
        <f t="shared" si="50"/>
        <v>125000</v>
      </c>
      <c r="M151" s="39">
        <f t="shared" si="51"/>
        <v>125000</v>
      </c>
      <c r="N151" s="72">
        <f t="shared" si="52"/>
        <v>145000</v>
      </c>
      <c r="O151" s="72">
        <v>0</v>
      </c>
      <c r="P151" s="72">
        <f t="shared" si="53"/>
        <v>145000</v>
      </c>
      <c r="Q151" s="74">
        <v>0</v>
      </c>
      <c r="S151" s="93"/>
      <c r="T151" s="94"/>
      <c r="U151" s="104"/>
      <c r="X151" s="189">
        <v>0</v>
      </c>
      <c r="Y151" s="189">
        <v>125000</v>
      </c>
      <c r="Z151" s="159">
        <f t="shared" si="54"/>
        <v>125000</v>
      </c>
      <c r="AB151" s="189"/>
      <c r="AC151" s="189">
        <v>0</v>
      </c>
      <c r="AD151" s="189"/>
      <c r="AE151" s="159">
        <f t="shared" si="55"/>
        <v>0</v>
      </c>
    </row>
    <row r="152" spans="1:31" x14ac:dyDescent="0.2">
      <c r="A152" s="5"/>
      <c r="B152" s="85">
        <v>4030</v>
      </c>
      <c r="C152" s="73" t="s">
        <v>164</v>
      </c>
      <c r="D152" s="134">
        <f t="shared" si="43"/>
        <v>0</v>
      </c>
      <c r="E152" s="134">
        <f t="shared" si="44"/>
        <v>779353</v>
      </c>
      <c r="F152" s="134">
        <f t="shared" si="45"/>
        <v>0</v>
      </c>
      <c r="G152" s="39">
        <f t="shared" si="46"/>
        <v>779353</v>
      </c>
      <c r="H152" s="71">
        <f t="shared" si="47"/>
        <v>3144165</v>
      </c>
      <c r="I152" s="72">
        <f t="shared" si="48"/>
        <v>3923518</v>
      </c>
      <c r="J152" s="71">
        <v>3040433</v>
      </c>
      <c r="K152" s="39">
        <f t="shared" si="49"/>
        <v>84500</v>
      </c>
      <c r="L152" s="39">
        <f t="shared" si="50"/>
        <v>798585</v>
      </c>
      <c r="M152" s="39">
        <f t="shared" si="51"/>
        <v>883085</v>
      </c>
      <c r="N152" s="72">
        <f t="shared" si="52"/>
        <v>3923518</v>
      </c>
      <c r="O152" s="72">
        <v>0</v>
      </c>
      <c r="P152" s="72">
        <f t="shared" si="53"/>
        <v>3923518</v>
      </c>
      <c r="Q152" s="74">
        <v>0</v>
      </c>
      <c r="S152" s="93">
        <f t="shared" si="56"/>
        <v>3144165</v>
      </c>
      <c r="T152" s="94">
        <f t="shared" si="42"/>
        <v>4.0343271919143184</v>
      </c>
      <c r="U152" s="104">
        <f t="shared" si="40"/>
        <v>3144165</v>
      </c>
      <c r="X152" s="189">
        <v>84500</v>
      </c>
      <c r="Y152" s="189">
        <v>798585</v>
      </c>
      <c r="Z152" s="159">
        <f t="shared" si="54"/>
        <v>883085</v>
      </c>
      <c r="AB152" s="189"/>
      <c r="AC152" s="189">
        <v>779353</v>
      </c>
      <c r="AD152" s="189"/>
      <c r="AE152" s="159">
        <f t="shared" si="55"/>
        <v>779353</v>
      </c>
    </row>
    <row r="153" spans="1:31" x14ac:dyDescent="0.2">
      <c r="A153" s="5"/>
      <c r="B153" s="85">
        <v>4031</v>
      </c>
      <c r="C153" s="73" t="s">
        <v>165</v>
      </c>
      <c r="D153" s="134">
        <f t="shared" si="43"/>
        <v>0</v>
      </c>
      <c r="E153" s="134">
        <f t="shared" si="44"/>
        <v>84000</v>
      </c>
      <c r="F153" s="134">
        <f t="shared" si="45"/>
        <v>0</v>
      </c>
      <c r="G153" s="39">
        <f t="shared" si="46"/>
        <v>84000</v>
      </c>
      <c r="H153" s="71">
        <f t="shared" si="47"/>
        <v>378280</v>
      </c>
      <c r="I153" s="72">
        <f t="shared" si="48"/>
        <v>462280</v>
      </c>
      <c r="J153" s="71">
        <v>373650</v>
      </c>
      <c r="K153" s="39">
        <f t="shared" si="49"/>
        <v>22500</v>
      </c>
      <c r="L153" s="39">
        <f t="shared" si="50"/>
        <v>66130</v>
      </c>
      <c r="M153" s="39">
        <f t="shared" si="51"/>
        <v>88630</v>
      </c>
      <c r="N153" s="72">
        <f t="shared" si="52"/>
        <v>462280</v>
      </c>
      <c r="O153" s="72">
        <v>0</v>
      </c>
      <c r="P153" s="72">
        <f t="shared" si="53"/>
        <v>462280</v>
      </c>
      <c r="Q153" s="74">
        <v>0</v>
      </c>
      <c r="S153" s="93">
        <f t="shared" si="56"/>
        <v>378280</v>
      </c>
      <c r="T153" s="94">
        <f t="shared" si="42"/>
        <v>4.503333333333333</v>
      </c>
      <c r="U153" s="104">
        <f t="shared" si="40"/>
        <v>378280</v>
      </c>
      <c r="X153" s="189">
        <v>22500</v>
      </c>
      <c r="Y153" s="189">
        <v>66130</v>
      </c>
      <c r="Z153" s="159">
        <f t="shared" si="54"/>
        <v>88630</v>
      </c>
      <c r="AB153" s="189"/>
      <c r="AC153" s="189">
        <v>84000</v>
      </c>
      <c r="AD153" s="189"/>
      <c r="AE153" s="159">
        <f t="shared" si="55"/>
        <v>84000</v>
      </c>
    </row>
    <row r="154" spans="1:31" x14ac:dyDescent="0.2">
      <c r="A154" s="5"/>
      <c r="B154" s="85">
        <v>4032</v>
      </c>
      <c r="C154" s="73" t="s">
        <v>166</v>
      </c>
      <c r="D154" s="134">
        <f t="shared" si="43"/>
        <v>0</v>
      </c>
      <c r="E154" s="134">
        <f t="shared" si="44"/>
        <v>443000</v>
      </c>
      <c r="F154" s="134">
        <f t="shared" si="45"/>
        <v>0</v>
      </c>
      <c r="G154" s="39">
        <f t="shared" si="46"/>
        <v>443000</v>
      </c>
      <c r="H154" s="71">
        <f t="shared" si="47"/>
        <v>213932</v>
      </c>
      <c r="I154" s="72">
        <f t="shared" si="48"/>
        <v>656932</v>
      </c>
      <c r="J154" s="71">
        <v>541272</v>
      </c>
      <c r="K154" s="39">
        <f t="shared" si="49"/>
        <v>25500</v>
      </c>
      <c r="L154" s="39">
        <f t="shared" si="50"/>
        <v>90160</v>
      </c>
      <c r="M154" s="39">
        <f t="shared" si="51"/>
        <v>115660</v>
      </c>
      <c r="N154" s="72">
        <f t="shared" si="52"/>
        <v>656932</v>
      </c>
      <c r="O154" s="72">
        <v>0</v>
      </c>
      <c r="P154" s="72">
        <f t="shared" si="53"/>
        <v>656932</v>
      </c>
      <c r="Q154" s="74">
        <v>0</v>
      </c>
      <c r="S154" s="93">
        <f t="shared" si="56"/>
        <v>213932</v>
      </c>
      <c r="T154" s="94">
        <f t="shared" si="42"/>
        <v>0.48291647855530473</v>
      </c>
      <c r="U154" s="104">
        <f t="shared" si="40"/>
        <v>213932</v>
      </c>
      <c r="X154" s="189">
        <v>25500</v>
      </c>
      <c r="Y154" s="189">
        <v>90160</v>
      </c>
      <c r="Z154" s="159">
        <f t="shared" si="54"/>
        <v>115660</v>
      </c>
      <c r="AB154" s="189"/>
      <c r="AC154" s="189">
        <v>443000</v>
      </c>
      <c r="AD154" s="189"/>
      <c r="AE154" s="159">
        <f t="shared" si="55"/>
        <v>443000</v>
      </c>
    </row>
    <row r="155" spans="1:31" x14ac:dyDescent="0.2">
      <c r="A155" s="5"/>
      <c r="B155" s="85">
        <v>4237</v>
      </c>
      <c r="C155" s="73" t="s">
        <v>256</v>
      </c>
      <c r="D155" s="134">
        <f t="shared" si="43"/>
        <v>0</v>
      </c>
      <c r="E155" s="134">
        <f t="shared" si="44"/>
        <v>0</v>
      </c>
      <c r="F155" s="134">
        <f t="shared" si="45"/>
        <v>0</v>
      </c>
      <c r="G155" s="39">
        <f t="shared" si="46"/>
        <v>0</v>
      </c>
      <c r="H155" s="71">
        <f t="shared" si="47"/>
        <v>0</v>
      </c>
      <c r="I155" s="72">
        <f t="shared" si="48"/>
        <v>0</v>
      </c>
      <c r="J155" s="71">
        <v>0</v>
      </c>
      <c r="K155" s="39">
        <f t="shared" si="49"/>
        <v>0</v>
      </c>
      <c r="L155" s="39">
        <f t="shared" si="50"/>
        <v>0</v>
      </c>
      <c r="M155" s="39">
        <f t="shared" si="51"/>
        <v>0</v>
      </c>
      <c r="N155" s="72">
        <f t="shared" si="52"/>
        <v>0</v>
      </c>
      <c r="O155" s="72">
        <v>0</v>
      </c>
      <c r="P155" s="72">
        <f t="shared" si="53"/>
        <v>0</v>
      </c>
      <c r="Q155" s="74">
        <v>0</v>
      </c>
      <c r="S155" s="93">
        <f t="shared" si="56"/>
        <v>0</v>
      </c>
      <c r="T155" s="94"/>
      <c r="U155" s="104"/>
      <c r="X155" s="189"/>
      <c r="Y155" s="189"/>
      <c r="Z155" s="159">
        <f t="shared" si="54"/>
        <v>0</v>
      </c>
      <c r="AB155" s="189"/>
      <c r="AC155" s="189"/>
      <c r="AD155" s="189"/>
      <c r="AE155" s="159">
        <f t="shared" si="55"/>
        <v>0</v>
      </c>
    </row>
    <row r="156" spans="1:31" x14ac:dyDescent="0.2">
      <c r="A156" s="5"/>
      <c r="B156" s="85">
        <v>4247</v>
      </c>
      <c r="C156" s="10" t="s">
        <v>145</v>
      </c>
      <c r="D156" s="134">
        <f t="shared" si="43"/>
        <v>0</v>
      </c>
      <c r="E156" s="134">
        <f t="shared" si="44"/>
        <v>0</v>
      </c>
      <c r="F156" s="134">
        <f t="shared" si="45"/>
        <v>0</v>
      </c>
      <c r="G156" s="39">
        <f t="shared" si="46"/>
        <v>0</v>
      </c>
      <c r="H156" s="71">
        <f t="shared" si="47"/>
        <v>0</v>
      </c>
      <c r="I156" s="72">
        <f t="shared" si="48"/>
        <v>0</v>
      </c>
      <c r="J156" s="71">
        <v>0</v>
      </c>
      <c r="K156" s="39">
        <f t="shared" si="49"/>
        <v>0</v>
      </c>
      <c r="L156" s="39">
        <f t="shared" si="50"/>
        <v>0</v>
      </c>
      <c r="M156" s="39">
        <f t="shared" si="51"/>
        <v>0</v>
      </c>
      <c r="N156" s="72">
        <f t="shared" si="52"/>
        <v>0</v>
      </c>
      <c r="O156" s="72">
        <v>0</v>
      </c>
      <c r="P156" s="72">
        <f t="shared" si="53"/>
        <v>0</v>
      </c>
      <c r="Q156" s="74">
        <v>0</v>
      </c>
      <c r="S156" s="93">
        <f t="shared" si="56"/>
        <v>0</v>
      </c>
      <c r="T156" s="94" t="e">
        <f t="shared" si="42"/>
        <v>#DIV/0!</v>
      </c>
      <c r="U156" s="104">
        <f t="shared" si="40"/>
        <v>0</v>
      </c>
      <c r="X156" s="189"/>
      <c r="Y156" s="189"/>
      <c r="Z156" s="159">
        <f t="shared" si="54"/>
        <v>0</v>
      </c>
      <c r="AB156" s="189"/>
      <c r="AC156" s="189"/>
      <c r="AD156" s="189"/>
      <c r="AE156" s="159">
        <f t="shared" si="55"/>
        <v>0</v>
      </c>
    </row>
    <row r="157" spans="1:31" x14ac:dyDescent="0.2">
      <c r="A157" s="5"/>
      <c r="B157" s="85">
        <v>4249</v>
      </c>
      <c r="C157" s="10" t="s">
        <v>148</v>
      </c>
      <c r="D157" s="134">
        <f t="shared" si="43"/>
        <v>0</v>
      </c>
      <c r="E157" s="134">
        <f t="shared" si="44"/>
        <v>0</v>
      </c>
      <c r="F157" s="134">
        <f t="shared" si="45"/>
        <v>0</v>
      </c>
      <c r="G157" s="39">
        <f t="shared" si="46"/>
        <v>0</v>
      </c>
      <c r="H157" s="71">
        <f t="shared" si="47"/>
        <v>0</v>
      </c>
      <c r="I157" s="72">
        <f t="shared" si="48"/>
        <v>0</v>
      </c>
      <c r="J157" s="71">
        <v>0</v>
      </c>
      <c r="K157" s="39">
        <f t="shared" si="49"/>
        <v>0</v>
      </c>
      <c r="L157" s="39">
        <f t="shared" si="50"/>
        <v>0</v>
      </c>
      <c r="M157" s="39">
        <f t="shared" si="51"/>
        <v>0</v>
      </c>
      <c r="N157" s="72">
        <f t="shared" si="52"/>
        <v>0</v>
      </c>
      <c r="O157" s="72">
        <v>0</v>
      </c>
      <c r="P157" s="72">
        <f t="shared" si="53"/>
        <v>0</v>
      </c>
      <c r="Q157" s="74">
        <v>0</v>
      </c>
      <c r="S157" s="93">
        <f t="shared" si="56"/>
        <v>0</v>
      </c>
      <c r="T157" s="94" t="e">
        <f t="shared" si="42"/>
        <v>#DIV/0!</v>
      </c>
      <c r="U157" s="104">
        <f t="shared" si="40"/>
        <v>0</v>
      </c>
      <c r="X157" s="189"/>
      <c r="Y157" s="189"/>
      <c r="Z157" s="159">
        <f t="shared" si="54"/>
        <v>0</v>
      </c>
      <c r="AB157" s="189"/>
      <c r="AC157" s="189"/>
      <c r="AD157" s="189"/>
      <c r="AE157" s="159">
        <f t="shared" si="55"/>
        <v>0</v>
      </c>
    </row>
    <row r="158" spans="1:31" x14ac:dyDescent="0.2">
      <c r="A158" s="5"/>
      <c r="B158" s="85">
        <v>4250</v>
      </c>
      <c r="C158" s="73" t="s">
        <v>184</v>
      </c>
      <c r="D158" s="134">
        <f t="shared" si="43"/>
        <v>0</v>
      </c>
      <c r="E158" s="134">
        <f t="shared" si="44"/>
        <v>0</v>
      </c>
      <c r="F158" s="134">
        <f t="shared" si="45"/>
        <v>0</v>
      </c>
      <c r="G158" s="39">
        <f t="shared" si="46"/>
        <v>0</v>
      </c>
      <c r="H158" s="71">
        <f t="shared" si="47"/>
        <v>0</v>
      </c>
      <c r="I158" s="72">
        <f t="shared" si="48"/>
        <v>0</v>
      </c>
      <c r="J158" s="71">
        <v>0</v>
      </c>
      <c r="K158" s="39">
        <f t="shared" si="49"/>
        <v>0</v>
      </c>
      <c r="L158" s="39">
        <f t="shared" si="50"/>
        <v>0</v>
      </c>
      <c r="M158" s="39">
        <f t="shared" si="51"/>
        <v>0</v>
      </c>
      <c r="N158" s="72">
        <f t="shared" si="52"/>
        <v>0</v>
      </c>
      <c r="O158" s="72">
        <v>0</v>
      </c>
      <c r="P158" s="72">
        <f t="shared" si="53"/>
        <v>0</v>
      </c>
      <c r="Q158" s="74">
        <v>0</v>
      </c>
      <c r="S158" s="93">
        <f t="shared" si="56"/>
        <v>0</v>
      </c>
      <c r="T158" s="94" t="e">
        <f t="shared" si="42"/>
        <v>#DIV/0!</v>
      </c>
      <c r="U158" s="104">
        <f t="shared" si="40"/>
        <v>0</v>
      </c>
      <c r="X158" s="189"/>
      <c r="Y158" s="189"/>
      <c r="Z158" s="159">
        <f t="shared" si="54"/>
        <v>0</v>
      </c>
      <c r="AB158" s="189"/>
      <c r="AC158" s="189"/>
      <c r="AD158" s="189"/>
      <c r="AE158" s="159">
        <f t="shared" si="55"/>
        <v>0</v>
      </c>
    </row>
    <row r="159" spans="1:31" x14ac:dyDescent="0.2">
      <c r="A159" s="5"/>
      <c r="B159" s="85">
        <v>4251</v>
      </c>
      <c r="C159" s="73" t="s">
        <v>183</v>
      </c>
      <c r="D159" s="134">
        <f t="shared" si="43"/>
        <v>0</v>
      </c>
      <c r="E159" s="134">
        <f t="shared" si="44"/>
        <v>0</v>
      </c>
      <c r="F159" s="134">
        <f t="shared" si="45"/>
        <v>0</v>
      </c>
      <c r="G159" s="39">
        <f t="shared" si="46"/>
        <v>0</v>
      </c>
      <c r="H159" s="71">
        <f t="shared" si="47"/>
        <v>0</v>
      </c>
      <c r="I159" s="72">
        <f t="shared" si="48"/>
        <v>0</v>
      </c>
      <c r="J159" s="71">
        <v>0</v>
      </c>
      <c r="K159" s="39">
        <f t="shared" si="49"/>
        <v>0</v>
      </c>
      <c r="L159" s="39">
        <f t="shared" si="50"/>
        <v>0</v>
      </c>
      <c r="M159" s="39">
        <f t="shared" si="51"/>
        <v>0</v>
      </c>
      <c r="N159" s="72">
        <f t="shared" si="52"/>
        <v>0</v>
      </c>
      <c r="O159" s="72">
        <v>0</v>
      </c>
      <c r="P159" s="72">
        <f t="shared" si="53"/>
        <v>0</v>
      </c>
      <c r="Q159" s="74">
        <v>0</v>
      </c>
      <c r="S159" s="93">
        <f t="shared" si="56"/>
        <v>0</v>
      </c>
      <c r="T159" s="94" t="e">
        <f t="shared" si="42"/>
        <v>#DIV/0!</v>
      </c>
      <c r="U159" s="104">
        <f t="shared" si="40"/>
        <v>0</v>
      </c>
      <c r="X159" s="189"/>
      <c r="Y159" s="189"/>
      <c r="Z159" s="159">
        <f t="shared" si="54"/>
        <v>0</v>
      </c>
      <c r="AB159" s="189"/>
      <c r="AC159" s="189"/>
      <c r="AD159" s="189"/>
      <c r="AE159" s="159">
        <f t="shared" si="55"/>
        <v>0</v>
      </c>
    </row>
    <row r="160" spans="1:31" x14ac:dyDescent="0.2">
      <c r="A160" s="5"/>
      <c r="B160" s="85">
        <v>4252</v>
      </c>
      <c r="C160" s="73" t="s">
        <v>236</v>
      </c>
      <c r="D160" s="134">
        <f t="shared" si="43"/>
        <v>0</v>
      </c>
      <c r="E160" s="134">
        <f t="shared" si="44"/>
        <v>0</v>
      </c>
      <c r="F160" s="134">
        <f t="shared" si="45"/>
        <v>0</v>
      </c>
      <c r="G160" s="39">
        <f t="shared" si="46"/>
        <v>0</v>
      </c>
      <c r="H160" s="71">
        <f t="shared" si="47"/>
        <v>0</v>
      </c>
      <c r="I160" s="72">
        <f t="shared" si="48"/>
        <v>0</v>
      </c>
      <c r="J160" s="71">
        <v>0</v>
      </c>
      <c r="K160" s="39">
        <f t="shared" si="49"/>
        <v>0</v>
      </c>
      <c r="L160" s="39">
        <f t="shared" si="50"/>
        <v>0</v>
      </c>
      <c r="M160" s="39">
        <f t="shared" si="51"/>
        <v>0</v>
      </c>
      <c r="N160" s="72">
        <f t="shared" si="52"/>
        <v>0</v>
      </c>
      <c r="O160" s="72">
        <v>0</v>
      </c>
      <c r="P160" s="72">
        <f t="shared" si="53"/>
        <v>0</v>
      </c>
      <c r="Q160" s="74">
        <v>0</v>
      </c>
      <c r="S160" s="93">
        <f t="shared" si="56"/>
        <v>0</v>
      </c>
      <c r="T160" s="94"/>
      <c r="U160" s="104"/>
      <c r="X160" s="189"/>
      <c r="Y160" s="189"/>
      <c r="Z160" s="159">
        <f t="shared" si="54"/>
        <v>0</v>
      </c>
      <c r="AB160" s="189"/>
      <c r="AC160" s="189"/>
      <c r="AD160" s="189"/>
      <c r="AE160" s="159">
        <f t="shared" si="55"/>
        <v>0</v>
      </c>
    </row>
    <row r="161" spans="1:31" x14ac:dyDescent="0.2">
      <c r="A161" s="5"/>
      <c r="B161" s="85">
        <v>4254</v>
      </c>
      <c r="C161" s="73" t="s">
        <v>187</v>
      </c>
      <c r="D161" s="134">
        <f t="shared" si="43"/>
        <v>0</v>
      </c>
      <c r="E161" s="134">
        <f t="shared" si="44"/>
        <v>0</v>
      </c>
      <c r="F161" s="134">
        <f t="shared" si="45"/>
        <v>0</v>
      </c>
      <c r="G161" s="39">
        <f t="shared" si="46"/>
        <v>0</v>
      </c>
      <c r="H161" s="71">
        <f t="shared" si="47"/>
        <v>0</v>
      </c>
      <c r="I161" s="72">
        <f t="shared" si="48"/>
        <v>0</v>
      </c>
      <c r="J161" s="71">
        <v>0</v>
      </c>
      <c r="K161" s="39">
        <f t="shared" si="49"/>
        <v>0</v>
      </c>
      <c r="L161" s="39">
        <f t="shared" si="50"/>
        <v>0</v>
      </c>
      <c r="M161" s="39">
        <f t="shared" si="51"/>
        <v>0</v>
      </c>
      <c r="N161" s="72">
        <f t="shared" si="52"/>
        <v>0</v>
      </c>
      <c r="O161" s="72">
        <v>0</v>
      </c>
      <c r="P161" s="72">
        <f t="shared" si="53"/>
        <v>0</v>
      </c>
      <c r="Q161" s="74">
        <v>0</v>
      </c>
      <c r="S161" s="93">
        <f t="shared" si="56"/>
        <v>0</v>
      </c>
      <c r="T161" s="94" t="e">
        <f t="shared" si="42"/>
        <v>#DIV/0!</v>
      </c>
      <c r="U161" s="104">
        <f t="shared" si="40"/>
        <v>0</v>
      </c>
      <c r="X161" s="189"/>
      <c r="Y161" s="189"/>
      <c r="Z161" s="159">
        <f t="shared" si="54"/>
        <v>0</v>
      </c>
      <c r="AB161" s="189"/>
      <c r="AC161" s="189"/>
      <c r="AD161" s="189"/>
      <c r="AE161" s="159">
        <f t="shared" si="55"/>
        <v>0</v>
      </c>
    </row>
    <row r="162" spans="1:31" x14ac:dyDescent="0.2">
      <c r="A162" s="5"/>
      <c r="B162" s="85">
        <v>4255</v>
      </c>
      <c r="C162" s="73" t="s">
        <v>202</v>
      </c>
      <c r="D162" s="134">
        <f t="shared" si="43"/>
        <v>0</v>
      </c>
      <c r="E162" s="134">
        <f t="shared" si="44"/>
        <v>0</v>
      </c>
      <c r="F162" s="134">
        <f t="shared" si="45"/>
        <v>0</v>
      </c>
      <c r="G162" s="39">
        <f t="shared" si="46"/>
        <v>0</v>
      </c>
      <c r="H162" s="71">
        <f t="shared" si="47"/>
        <v>0</v>
      </c>
      <c r="I162" s="72">
        <f t="shared" si="48"/>
        <v>0</v>
      </c>
      <c r="J162" s="71">
        <v>0</v>
      </c>
      <c r="K162" s="39">
        <f t="shared" si="49"/>
        <v>0</v>
      </c>
      <c r="L162" s="39">
        <f t="shared" si="50"/>
        <v>0</v>
      </c>
      <c r="M162" s="39">
        <f t="shared" si="51"/>
        <v>0</v>
      </c>
      <c r="N162" s="72">
        <f t="shared" si="52"/>
        <v>0</v>
      </c>
      <c r="O162" s="72">
        <v>0</v>
      </c>
      <c r="P162" s="72">
        <f t="shared" si="53"/>
        <v>0</v>
      </c>
      <c r="Q162" s="74">
        <v>0</v>
      </c>
      <c r="S162" s="93">
        <f t="shared" si="56"/>
        <v>0</v>
      </c>
      <c r="T162" s="94"/>
      <c r="U162" s="104"/>
      <c r="X162" s="189"/>
      <c r="Y162" s="189"/>
      <c r="Z162" s="159">
        <f t="shared" si="54"/>
        <v>0</v>
      </c>
      <c r="AB162" s="189"/>
      <c r="AC162" s="189"/>
      <c r="AD162" s="189"/>
      <c r="AE162" s="159">
        <f t="shared" si="55"/>
        <v>0</v>
      </c>
    </row>
    <row r="163" spans="1:31" x14ac:dyDescent="0.2">
      <c r="A163" s="5"/>
      <c r="B163" s="85">
        <v>4256</v>
      </c>
      <c r="C163" s="73" t="s">
        <v>208</v>
      </c>
      <c r="D163" s="134">
        <f t="shared" si="43"/>
        <v>0</v>
      </c>
      <c r="E163" s="134">
        <f t="shared" si="44"/>
        <v>0</v>
      </c>
      <c r="F163" s="134">
        <f t="shared" si="45"/>
        <v>0</v>
      </c>
      <c r="G163" s="39">
        <f t="shared" si="46"/>
        <v>0</v>
      </c>
      <c r="H163" s="71">
        <f t="shared" si="47"/>
        <v>0</v>
      </c>
      <c r="I163" s="72">
        <f t="shared" si="48"/>
        <v>0</v>
      </c>
      <c r="J163" s="71">
        <v>0</v>
      </c>
      <c r="K163" s="39">
        <f t="shared" si="49"/>
        <v>0</v>
      </c>
      <c r="L163" s="39">
        <f t="shared" si="50"/>
        <v>0</v>
      </c>
      <c r="M163" s="39">
        <f t="shared" si="51"/>
        <v>0</v>
      </c>
      <c r="N163" s="72">
        <f t="shared" si="52"/>
        <v>0</v>
      </c>
      <c r="O163" s="72">
        <v>0</v>
      </c>
      <c r="P163" s="72">
        <f t="shared" si="53"/>
        <v>0</v>
      </c>
      <c r="Q163" s="74">
        <v>0</v>
      </c>
      <c r="S163" s="93">
        <f t="shared" si="56"/>
        <v>0</v>
      </c>
      <c r="T163" s="94"/>
      <c r="U163" s="104"/>
      <c r="X163" s="189"/>
      <c r="Y163" s="189"/>
      <c r="Z163" s="159">
        <f t="shared" si="54"/>
        <v>0</v>
      </c>
      <c r="AB163" s="189"/>
      <c r="AC163" s="189"/>
      <c r="AD163" s="189"/>
      <c r="AE163" s="159">
        <f t="shared" si="55"/>
        <v>0</v>
      </c>
    </row>
    <row r="164" spans="1:31" x14ac:dyDescent="0.2">
      <c r="A164" s="5"/>
      <c r="B164" s="85">
        <v>4257</v>
      </c>
      <c r="C164" s="73" t="s">
        <v>255</v>
      </c>
      <c r="D164" s="134">
        <f t="shared" si="43"/>
        <v>0</v>
      </c>
      <c r="E164" s="134">
        <f t="shared" si="44"/>
        <v>0</v>
      </c>
      <c r="F164" s="134">
        <f t="shared" si="45"/>
        <v>0</v>
      </c>
      <c r="G164" s="39">
        <f t="shared" si="46"/>
        <v>0</v>
      </c>
      <c r="H164" s="71">
        <f t="shared" si="47"/>
        <v>0</v>
      </c>
      <c r="I164" s="72">
        <f t="shared" si="48"/>
        <v>0</v>
      </c>
      <c r="J164" s="71">
        <v>0</v>
      </c>
      <c r="K164" s="39">
        <f t="shared" si="49"/>
        <v>0</v>
      </c>
      <c r="L164" s="39">
        <f t="shared" si="50"/>
        <v>0</v>
      </c>
      <c r="M164" s="39">
        <f t="shared" si="51"/>
        <v>0</v>
      </c>
      <c r="N164" s="72">
        <f t="shared" si="52"/>
        <v>0</v>
      </c>
      <c r="O164" s="72">
        <v>0</v>
      </c>
      <c r="P164" s="72">
        <f t="shared" si="53"/>
        <v>0</v>
      </c>
      <c r="Q164" s="74">
        <v>0</v>
      </c>
      <c r="S164" s="93">
        <f t="shared" si="56"/>
        <v>0</v>
      </c>
      <c r="T164" s="94"/>
      <c r="U164" s="104"/>
      <c r="X164" s="189"/>
      <c r="Y164" s="189"/>
      <c r="Z164" s="159">
        <f t="shared" si="54"/>
        <v>0</v>
      </c>
      <c r="AB164" s="189"/>
      <c r="AC164" s="189"/>
      <c r="AD164" s="189"/>
      <c r="AE164" s="159">
        <f t="shared" si="55"/>
        <v>0</v>
      </c>
    </row>
    <row r="165" spans="1:31" x14ac:dyDescent="0.2">
      <c r="A165" s="5"/>
      <c r="B165" s="85">
        <v>4259</v>
      </c>
      <c r="C165" s="73" t="s">
        <v>288</v>
      </c>
      <c r="D165" s="134">
        <f t="shared" si="43"/>
        <v>0</v>
      </c>
      <c r="E165" s="134">
        <f t="shared" si="44"/>
        <v>1485563</v>
      </c>
      <c r="F165" s="134">
        <f t="shared" si="45"/>
        <v>0</v>
      </c>
      <c r="G165" s="39">
        <f t="shared" si="46"/>
        <v>1485563</v>
      </c>
      <c r="H165" s="71">
        <f t="shared" si="47"/>
        <v>-142715</v>
      </c>
      <c r="I165" s="72">
        <f t="shared" si="48"/>
        <v>1342848</v>
      </c>
      <c r="J165" s="71">
        <v>-142745</v>
      </c>
      <c r="K165" s="39">
        <f t="shared" si="49"/>
        <v>1485593</v>
      </c>
      <c r="L165" s="39">
        <f t="shared" si="50"/>
        <v>0</v>
      </c>
      <c r="M165" s="39">
        <f t="shared" si="51"/>
        <v>1485593</v>
      </c>
      <c r="N165" s="72">
        <f t="shared" si="52"/>
        <v>1342848</v>
      </c>
      <c r="O165" s="72">
        <v>0</v>
      </c>
      <c r="P165" s="72">
        <f t="shared" si="53"/>
        <v>1342848</v>
      </c>
      <c r="Q165" s="74">
        <v>0</v>
      </c>
      <c r="S165" s="93"/>
      <c r="T165" s="94"/>
      <c r="U165" s="104"/>
      <c r="X165" s="189">
        <v>1485593</v>
      </c>
      <c r="Y165" s="189"/>
      <c r="Z165" s="159">
        <f t="shared" si="54"/>
        <v>1485593</v>
      </c>
      <c r="AB165" s="189"/>
      <c r="AC165" s="189">
        <v>1485563</v>
      </c>
      <c r="AD165" s="189"/>
      <c r="AE165" s="159">
        <f t="shared" si="55"/>
        <v>1485563</v>
      </c>
    </row>
    <row r="166" spans="1:31" x14ac:dyDescent="0.2">
      <c r="A166" s="5"/>
      <c r="B166" s="85">
        <v>5020</v>
      </c>
      <c r="C166" s="10" t="s">
        <v>154</v>
      </c>
      <c r="D166" s="134">
        <f t="shared" si="43"/>
        <v>47300</v>
      </c>
      <c r="E166" s="134">
        <f t="shared" si="44"/>
        <v>0</v>
      </c>
      <c r="F166" s="134">
        <f t="shared" si="45"/>
        <v>0</v>
      </c>
      <c r="G166" s="39">
        <f t="shared" si="46"/>
        <v>47300</v>
      </c>
      <c r="H166" s="71">
        <f t="shared" si="47"/>
        <v>172570</v>
      </c>
      <c r="I166" s="72">
        <f t="shared" si="48"/>
        <v>219870</v>
      </c>
      <c r="J166" s="71">
        <v>165870</v>
      </c>
      <c r="K166" s="39">
        <f t="shared" si="49"/>
        <v>54000</v>
      </c>
      <c r="L166" s="39">
        <f t="shared" si="50"/>
        <v>0</v>
      </c>
      <c r="M166" s="39">
        <f t="shared" si="51"/>
        <v>54000</v>
      </c>
      <c r="N166" s="72">
        <f t="shared" si="52"/>
        <v>219870</v>
      </c>
      <c r="O166" s="72">
        <v>0</v>
      </c>
      <c r="P166" s="72">
        <f t="shared" si="53"/>
        <v>219870</v>
      </c>
      <c r="Q166" s="74">
        <v>0</v>
      </c>
      <c r="S166" s="93">
        <f t="shared" si="56"/>
        <v>172570</v>
      </c>
      <c r="T166" s="94">
        <f t="shared" si="42"/>
        <v>3.648414376321353</v>
      </c>
      <c r="U166" s="104">
        <f t="shared" si="40"/>
        <v>172570</v>
      </c>
      <c r="X166" s="189">
        <v>54000</v>
      </c>
      <c r="Y166" s="189"/>
      <c r="Z166" s="159">
        <f t="shared" si="54"/>
        <v>54000</v>
      </c>
      <c r="AB166" s="189">
        <v>47300</v>
      </c>
      <c r="AC166" s="189"/>
      <c r="AD166" s="189"/>
      <c r="AE166" s="159">
        <f t="shared" si="55"/>
        <v>47300</v>
      </c>
    </row>
    <row r="167" spans="1:31" x14ac:dyDescent="0.2">
      <c r="A167" s="5"/>
      <c r="B167" s="85">
        <v>5410</v>
      </c>
      <c r="C167" s="10" t="s">
        <v>82</v>
      </c>
      <c r="D167" s="134">
        <f t="shared" si="43"/>
        <v>8327018</v>
      </c>
      <c r="E167" s="134">
        <f t="shared" si="44"/>
        <v>701000</v>
      </c>
      <c r="F167" s="134">
        <f t="shared" si="45"/>
        <v>1615222</v>
      </c>
      <c r="G167" s="39">
        <f t="shared" si="46"/>
        <v>10643240</v>
      </c>
      <c r="H167" s="71">
        <f t="shared" si="47"/>
        <v>7331752</v>
      </c>
      <c r="I167" s="72">
        <f t="shared" si="48"/>
        <v>17974992</v>
      </c>
      <c r="J167" s="71">
        <v>8521841</v>
      </c>
      <c r="K167" s="39">
        <f t="shared" si="49"/>
        <v>9353151</v>
      </c>
      <c r="L167" s="39">
        <f t="shared" si="50"/>
        <v>100000</v>
      </c>
      <c r="M167" s="39">
        <f t="shared" si="51"/>
        <v>9453151</v>
      </c>
      <c r="N167" s="72">
        <f t="shared" si="52"/>
        <v>17974992</v>
      </c>
      <c r="O167" s="72">
        <v>0</v>
      </c>
      <c r="P167" s="72">
        <f t="shared" si="53"/>
        <v>17974992</v>
      </c>
      <c r="Q167" s="74">
        <v>0</v>
      </c>
      <c r="S167" s="93">
        <f t="shared" si="56"/>
        <v>7331752</v>
      </c>
      <c r="T167" s="94">
        <f t="shared" si="42"/>
        <v>0.68886466902935573</v>
      </c>
      <c r="U167" s="104">
        <f t="shared" si="40"/>
        <v>7331752</v>
      </c>
      <c r="X167" s="189">
        <v>9353151</v>
      </c>
      <c r="Y167" s="189">
        <v>100000</v>
      </c>
      <c r="Z167" s="159">
        <f t="shared" si="54"/>
        <v>9453151</v>
      </c>
      <c r="AB167" s="189">
        <v>8327018</v>
      </c>
      <c r="AC167" s="189">
        <v>701000</v>
      </c>
      <c r="AD167" s="189">
        <v>1615222</v>
      </c>
      <c r="AE167" s="159">
        <f t="shared" si="55"/>
        <v>10643240</v>
      </c>
    </row>
    <row r="168" spans="1:31" x14ac:dyDescent="0.2">
      <c r="A168" s="5"/>
      <c r="B168" s="85">
        <v>5415</v>
      </c>
      <c r="C168" s="73" t="s">
        <v>297</v>
      </c>
      <c r="D168" s="134">
        <f t="shared" si="43"/>
        <v>0</v>
      </c>
      <c r="E168" s="134">
        <f t="shared" si="44"/>
        <v>0</v>
      </c>
      <c r="F168" s="134">
        <f t="shared" si="45"/>
        <v>0</v>
      </c>
      <c r="G168" s="39">
        <f t="shared" si="46"/>
        <v>0</v>
      </c>
      <c r="H168" s="71">
        <f t="shared" si="47"/>
        <v>939532</v>
      </c>
      <c r="I168" s="72">
        <f t="shared" si="48"/>
        <v>939532</v>
      </c>
      <c r="J168" s="71">
        <v>252532</v>
      </c>
      <c r="K168" s="39">
        <f t="shared" si="49"/>
        <v>12000</v>
      </c>
      <c r="L168" s="39">
        <f t="shared" si="50"/>
        <v>675000</v>
      </c>
      <c r="M168" s="39">
        <f t="shared" si="51"/>
        <v>687000</v>
      </c>
      <c r="N168" s="72">
        <f t="shared" si="52"/>
        <v>939532</v>
      </c>
      <c r="O168" s="72">
        <v>0</v>
      </c>
      <c r="P168" s="72">
        <f t="shared" si="53"/>
        <v>939532</v>
      </c>
      <c r="Q168" s="74">
        <v>0</v>
      </c>
      <c r="S168" s="93"/>
      <c r="T168" s="94"/>
      <c r="U168" s="104"/>
      <c r="X168" s="189">
        <v>12000</v>
      </c>
      <c r="Y168" s="189">
        <v>675000</v>
      </c>
      <c r="Z168" s="159">
        <f t="shared" si="54"/>
        <v>687000</v>
      </c>
      <c r="AB168" s="189"/>
      <c r="AC168" s="189"/>
      <c r="AD168" s="189"/>
      <c r="AE168" s="159">
        <f t="shared" si="55"/>
        <v>0</v>
      </c>
    </row>
    <row r="169" spans="1:31" x14ac:dyDescent="0.2">
      <c r="A169" s="5"/>
      <c r="B169" s="85">
        <v>5420</v>
      </c>
      <c r="C169" s="10" t="s">
        <v>83</v>
      </c>
      <c r="D169" s="134">
        <f t="shared" si="43"/>
        <v>0</v>
      </c>
      <c r="E169" s="134">
        <f t="shared" si="44"/>
        <v>0</v>
      </c>
      <c r="F169" s="134">
        <f t="shared" si="45"/>
        <v>0</v>
      </c>
      <c r="G169" s="39">
        <f t="shared" si="46"/>
        <v>0</v>
      </c>
      <c r="H169" s="71">
        <f t="shared" si="47"/>
        <v>4315826</v>
      </c>
      <c r="I169" s="72">
        <f t="shared" si="48"/>
        <v>4315826</v>
      </c>
      <c r="J169" s="71">
        <v>3518826</v>
      </c>
      <c r="K169" s="39">
        <f t="shared" si="49"/>
        <v>397000</v>
      </c>
      <c r="L169" s="39">
        <f t="shared" si="50"/>
        <v>400000</v>
      </c>
      <c r="M169" s="39">
        <f t="shared" si="51"/>
        <v>797000</v>
      </c>
      <c r="N169" s="72">
        <f t="shared" si="52"/>
        <v>4315826</v>
      </c>
      <c r="O169" s="72">
        <v>0</v>
      </c>
      <c r="P169" s="72">
        <f t="shared" si="53"/>
        <v>4315826</v>
      </c>
      <c r="Q169" s="74">
        <v>0</v>
      </c>
      <c r="S169" s="93">
        <f t="shared" si="56"/>
        <v>4315826</v>
      </c>
      <c r="T169" s="94" t="e">
        <f t="shared" si="42"/>
        <v>#DIV/0!</v>
      </c>
      <c r="U169" s="104">
        <f t="shared" si="40"/>
        <v>4315826</v>
      </c>
      <c r="X169" s="189">
        <v>397000</v>
      </c>
      <c r="Y169" s="189">
        <v>400000</v>
      </c>
      <c r="Z169" s="159">
        <f t="shared" si="54"/>
        <v>797000</v>
      </c>
      <c r="AB169" s="189"/>
      <c r="AC169" s="189"/>
      <c r="AD169" s="189"/>
      <c r="AE169" s="159">
        <f t="shared" si="55"/>
        <v>0</v>
      </c>
    </row>
    <row r="170" spans="1:31" x14ac:dyDescent="0.2">
      <c r="A170" s="5"/>
      <c r="B170" s="85">
        <v>5430</v>
      </c>
      <c r="C170" s="10" t="s">
        <v>84</v>
      </c>
      <c r="D170" s="134">
        <f t="shared" si="43"/>
        <v>0</v>
      </c>
      <c r="E170" s="134">
        <f t="shared" si="44"/>
        <v>0</v>
      </c>
      <c r="F170" s="134">
        <f t="shared" si="45"/>
        <v>100000</v>
      </c>
      <c r="G170" s="39">
        <f t="shared" si="46"/>
        <v>100000</v>
      </c>
      <c r="H170" s="71">
        <f t="shared" si="47"/>
        <v>2101663</v>
      </c>
      <c r="I170" s="72">
        <f t="shared" si="48"/>
        <v>2201663</v>
      </c>
      <c r="J170" s="71">
        <v>1459663</v>
      </c>
      <c r="K170" s="39">
        <f t="shared" si="49"/>
        <v>242000</v>
      </c>
      <c r="L170" s="39">
        <f t="shared" si="50"/>
        <v>500000</v>
      </c>
      <c r="M170" s="39">
        <f t="shared" si="51"/>
        <v>742000</v>
      </c>
      <c r="N170" s="72">
        <f t="shared" si="52"/>
        <v>2201663</v>
      </c>
      <c r="O170" s="72">
        <v>0</v>
      </c>
      <c r="P170" s="72">
        <f t="shared" si="53"/>
        <v>2201663</v>
      </c>
      <c r="Q170" s="74">
        <v>0</v>
      </c>
      <c r="S170" s="93">
        <f t="shared" si="56"/>
        <v>2101663</v>
      </c>
      <c r="T170" s="94">
        <f t="shared" si="42"/>
        <v>21.016629999999999</v>
      </c>
      <c r="U170" s="104">
        <f t="shared" si="40"/>
        <v>2101663</v>
      </c>
      <c r="X170" s="189">
        <v>242000</v>
      </c>
      <c r="Y170" s="189">
        <v>500000</v>
      </c>
      <c r="Z170" s="159">
        <f t="shared" si="54"/>
        <v>742000</v>
      </c>
      <c r="AB170" s="189"/>
      <c r="AC170" s="189"/>
      <c r="AD170" s="189">
        <v>100000</v>
      </c>
      <c r="AE170" s="159">
        <f t="shared" si="55"/>
        <v>100000</v>
      </c>
    </row>
    <row r="171" spans="1:31" x14ac:dyDescent="0.2">
      <c r="A171" s="5"/>
      <c r="B171" s="85">
        <v>5440</v>
      </c>
      <c r="C171" s="10" t="s">
        <v>139</v>
      </c>
      <c r="D171" s="134">
        <f t="shared" si="43"/>
        <v>0</v>
      </c>
      <c r="E171" s="134">
        <f t="shared" si="44"/>
        <v>0</v>
      </c>
      <c r="F171" s="134">
        <f t="shared" si="45"/>
        <v>0</v>
      </c>
      <c r="G171" s="39">
        <f t="shared" si="46"/>
        <v>0</v>
      </c>
      <c r="H171" s="71">
        <f t="shared" si="47"/>
        <v>1072788</v>
      </c>
      <c r="I171" s="72">
        <f t="shared" si="48"/>
        <v>1072788</v>
      </c>
      <c r="J171" s="71">
        <v>1047788</v>
      </c>
      <c r="K171" s="39">
        <f t="shared" si="49"/>
        <v>25000</v>
      </c>
      <c r="L171" s="39">
        <f t="shared" si="50"/>
        <v>0</v>
      </c>
      <c r="M171" s="39">
        <f t="shared" si="51"/>
        <v>25000</v>
      </c>
      <c r="N171" s="72">
        <f t="shared" si="52"/>
        <v>1072788</v>
      </c>
      <c r="O171" s="72">
        <v>0</v>
      </c>
      <c r="P171" s="72">
        <f t="shared" si="53"/>
        <v>1072788</v>
      </c>
      <c r="Q171" s="74">
        <v>0</v>
      </c>
      <c r="S171" s="93">
        <f t="shared" si="56"/>
        <v>1072788</v>
      </c>
      <c r="T171" s="94" t="e">
        <f t="shared" si="42"/>
        <v>#DIV/0!</v>
      </c>
      <c r="U171" s="104">
        <f t="shared" si="40"/>
        <v>1072788</v>
      </c>
      <c r="X171" s="189">
        <v>25000</v>
      </c>
      <c r="Y171" s="189"/>
      <c r="Z171" s="159">
        <f t="shared" si="54"/>
        <v>25000</v>
      </c>
      <c r="AB171" s="189"/>
      <c r="AC171" s="189"/>
      <c r="AD171" s="189"/>
      <c r="AE171" s="159">
        <f t="shared" si="55"/>
        <v>0</v>
      </c>
    </row>
    <row r="172" spans="1:31" x14ac:dyDescent="0.2">
      <c r="A172" s="5"/>
      <c r="B172" s="85">
        <v>5450</v>
      </c>
      <c r="C172" s="10" t="s">
        <v>140</v>
      </c>
      <c r="D172" s="134">
        <f t="shared" si="43"/>
        <v>0</v>
      </c>
      <c r="E172" s="134">
        <f t="shared" si="44"/>
        <v>0</v>
      </c>
      <c r="F172" s="134">
        <f t="shared" si="45"/>
        <v>0</v>
      </c>
      <c r="G172" s="39">
        <f t="shared" si="46"/>
        <v>0</v>
      </c>
      <c r="H172" s="71">
        <f t="shared" si="47"/>
        <v>433359</v>
      </c>
      <c r="I172" s="72">
        <f t="shared" si="48"/>
        <v>433359</v>
      </c>
      <c r="J172" s="71">
        <v>424359</v>
      </c>
      <c r="K172" s="39">
        <f t="shared" si="49"/>
        <v>9000</v>
      </c>
      <c r="L172" s="39">
        <f t="shared" si="50"/>
        <v>0</v>
      </c>
      <c r="M172" s="39">
        <f t="shared" si="51"/>
        <v>9000</v>
      </c>
      <c r="N172" s="72">
        <f t="shared" si="52"/>
        <v>433359</v>
      </c>
      <c r="O172" s="72">
        <v>0</v>
      </c>
      <c r="P172" s="72">
        <f t="shared" si="53"/>
        <v>433359</v>
      </c>
      <c r="Q172" s="74">
        <v>0</v>
      </c>
      <c r="S172" s="93">
        <f t="shared" si="56"/>
        <v>433359</v>
      </c>
      <c r="T172" s="94" t="e">
        <f t="shared" si="42"/>
        <v>#DIV/0!</v>
      </c>
      <c r="U172" s="104">
        <f t="shared" ref="U172:U188" si="57">+P172-G172</f>
        <v>433359</v>
      </c>
      <c r="X172" s="189">
        <v>9000</v>
      </c>
      <c r="Y172" s="189"/>
      <c r="Z172" s="159">
        <f t="shared" si="54"/>
        <v>9000</v>
      </c>
      <c r="AB172" s="189"/>
      <c r="AC172" s="189"/>
      <c r="AD172" s="189"/>
      <c r="AE172" s="159">
        <f t="shared" si="55"/>
        <v>0</v>
      </c>
    </row>
    <row r="173" spans="1:31" x14ac:dyDescent="0.2">
      <c r="A173" s="5"/>
      <c r="B173" s="85">
        <v>5451</v>
      </c>
      <c r="C173" s="73" t="s">
        <v>263</v>
      </c>
      <c r="D173" s="134">
        <f t="shared" si="43"/>
        <v>0</v>
      </c>
      <c r="E173" s="134">
        <f t="shared" si="44"/>
        <v>0</v>
      </c>
      <c r="F173" s="134">
        <f t="shared" si="45"/>
        <v>0</v>
      </c>
      <c r="G173" s="39">
        <f t="shared" si="46"/>
        <v>0</v>
      </c>
      <c r="H173" s="71">
        <f t="shared" si="47"/>
        <v>161468</v>
      </c>
      <c r="I173" s="72">
        <f t="shared" si="48"/>
        <v>161468</v>
      </c>
      <c r="J173" s="71">
        <v>159968</v>
      </c>
      <c r="K173" s="39">
        <f t="shared" si="49"/>
        <v>1500</v>
      </c>
      <c r="L173" s="39">
        <f t="shared" si="50"/>
        <v>0</v>
      </c>
      <c r="M173" s="39">
        <f t="shared" si="51"/>
        <v>1500</v>
      </c>
      <c r="N173" s="72">
        <f t="shared" si="52"/>
        <v>161468</v>
      </c>
      <c r="O173" s="72">
        <v>0</v>
      </c>
      <c r="P173" s="72">
        <f t="shared" si="53"/>
        <v>161468</v>
      </c>
      <c r="Q173" s="74">
        <v>0</v>
      </c>
      <c r="S173" s="93"/>
      <c r="T173" s="94"/>
      <c r="U173" s="104"/>
      <c r="X173" s="189">
        <v>1500</v>
      </c>
      <c r="Y173" s="189"/>
      <c r="Z173" s="159">
        <f t="shared" si="54"/>
        <v>1500</v>
      </c>
      <c r="AB173" s="189"/>
      <c r="AC173" s="189"/>
      <c r="AD173" s="189"/>
      <c r="AE173" s="159">
        <f t="shared" si="55"/>
        <v>0</v>
      </c>
    </row>
    <row r="174" spans="1:31" x14ac:dyDescent="0.2">
      <c r="A174" s="5"/>
      <c r="B174" s="85">
        <v>7015</v>
      </c>
      <c r="C174" s="10" t="s">
        <v>127</v>
      </c>
      <c r="D174" s="134">
        <f t="shared" si="43"/>
        <v>2000</v>
      </c>
      <c r="E174" s="134">
        <f t="shared" si="44"/>
        <v>0</v>
      </c>
      <c r="F174" s="134">
        <f t="shared" si="45"/>
        <v>0</v>
      </c>
      <c r="G174" s="39">
        <f t="shared" si="46"/>
        <v>2000</v>
      </c>
      <c r="H174" s="71">
        <f t="shared" si="47"/>
        <v>82353</v>
      </c>
      <c r="I174" s="72">
        <f t="shared" si="48"/>
        <v>84353</v>
      </c>
      <c r="J174" s="71">
        <v>84353</v>
      </c>
      <c r="K174" s="39">
        <f t="shared" si="49"/>
        <v>0</v>
      </c>
      <c r="L174" s="39">
        <f t="shared" si="50"/>
        <v>0</v>
      </c>
      <c r="M174" s="39">
        <f t="shared" si="51"/>
        <v>0</v>
      </c>
      <c r="N174" s="72">
        <f t="shared" si="52"/>
        <v>84353</v>
      </c>
      <c r="O174" s="72">
        <v>0</v>
      </c>
      <c r="P174" s="72">
        <f t="shared" si="53"/>
        <v>84353</v>
      </c>
      <c r="Q174" s="74">
        <v>0</v>
      </c>
      <c r="S174" s="93">
        <f t="shared" si="56"/>
        <v>82353</v>
      </c>
      <c r="T174" s="94">
        <f t="shared" si="42"/>
        <v>41.176499999999997</v>
      </c>
      <c r="U174" s="104">
        <f t="shared" si="57"/>
        <v>82353</v>
      </c>
      <c r="X174" s="189"/>
      <c r="Y174" s="189"/>
      <c r="Z174" s="159">
        <f t="shared" si="54"/>
        <v>0</v>
      </c>
      <c r="AB174" s="189">
        <v>2000</v>
      </c>
      <c r="AC174" s="189"/>
      <c r="AD174" s="189"/>
      <c r="AE174" s="159">
        <f t="shared" si="55"/>
        <v>2000</v>
      </c>
    </row>
    <row r="175" spans="1:31" x14ac:dyDescent="0.2">
      <c r="A175" s="5"/>
      <c r="B175" s="85">
        <v>7016</v>
      </c>
      <c r="C175" s="10" t="s">
        <v>155</v>
      </c>
      <c r="D175" s="134">
        <f t="shared" si="43"/>
        <v>0</v>
      </c>
      <c r="E175" s="134">
        <f t="shared" si="44"/>
        <v>0</v>
      </c>
      <c r="F175" s="134">
        <f t="shared" si="45"/>
        <v>0</v>
      </c>
      <c r="G175" s="39">
        <f t="shared" si="46"/>
        <v>0</v>
      </c>
      <c r="H175" s="71">
        <f t="shared" si="47"/>
        <v>104210</v>
      </c>
      <c r="I175" s="72">
        <f t="shared" si="48"/>
        <v>104210</v>
      </c>
      <c r="J175" s="71">
        <v>104210</v>
      </c>
      <c r="K175" s="39">
        <f t="shared" si="49"/>
        <v>0</v>
      </c>
      <c r="L175" s="39">
        <f t="shared" si="50"/>
        <v>0</v>
      </c>
      <c r="M175" s="39">
        <f t="shared" si="51"/>
        <v>0</v>
      </c>
      <c r="N175" s="72">
        <f t="shared" si="52"/>
        <v>104210</v>
      </c>
      <c r="O175" s="72">
        <v>0</v>
      </c>
      <c r="P175" s="72">
        <f t="shared" si="53"/>
        <v>104210</v>
      </c>
      <c r="Q175" s="74">
        <v>0</v>
      </c>
      <c r="S175" s="93">
        <f t="shared" si="56"/>
        <v>104210</v>
      </c>
      <c r="T175" s="94" t="e">
        <f t="shared" si="42"/>
        <v>#DIV/0!</v>
      </c>
      <c r="U175" s="104">
        <f t="shared" si="57"/>
        <v>104210</v>
      </c>
      <c r="X175" s="189"/>
      <c r="Y175" s="189"/>
      <c r="Z175" s="159">
        <f t="shared" si="54"/>
        <v>0</v>
      </c>
      <c r="AB175" s="189"/>
      <c r="AC175" s="189"/>
      <c r="AD175" s="189"/>
      <c r="AE175" s="159">
        <f t="shared" si="55"/>
        <v>0</v>
      </c>
    </row>
    <row r="176" spans="1:31" hidden="1" x14ac:dyDescent="0.2">
      <c r="A176" s="5"/>
      <c r="B176" s="85">
        <v>7040</v>
      </c>
      <c r="C176" s="10" t="s">
        <v>128</v>
      </c>
      <c r="D176" s="134">
        <f t="shared" si="43"/>
        <v>0</v>
      </c>
      <c r="E176" s="134">
        <f t="shared" si="44"/>
        <v>0</v>
      </c>
      <c r="F176" s="134">
        <f t="shared" si="45"/>
        <v>0</v>
      </c>
      <c r="G176" s="39">
        <f t="shared" si="46"/>
        <v>0</v>
      </c>
      <c r="H176" s="71">
        <f t="shared" si="47"/>
        <v>0</v>
      </c>
      <c r="I176" s="72">
        <f t="shared" si="48"/>
        <v>0</v>
      </c>
      <c r="J176" s="71">
        <v>0</v>
      </c>
      <c r="K176" s="39">
        <f t="shared" si="49"/>
        <v>0</v>
      </c>
      <c r="L176" s="39">
        <f t="shared" si="50"/>
        <v>0</v>
      </c>
      <c r="M176" s="39">
        <f t="shared" si="51"/>
        <v>0</v>
      </c>
      <c r="N176" s="72">
        <f t="shared" si="52"/>
        <v>0</v>
      </c>
      <c r="O176" s="72">
        <v>0</v>
      </c>
      <c r="P176" s="72">
        <f t="shared" si="53"/>
        <v>0</v>
      </c>
      <c r="Q176" s="74">
        <v>0</v>
      </c>
      <c r="S176" s="93">
        <f t="shared" si="56"/>
        <v>0</v>
      </c>
      <c r="T176" s="94" t="e">
        <f t="shared" si="42"/>
        <v>#DIV/0!</v>
      </c>
      <c r="U176" s="104">
        <f t="shared" si="57"/>
        <v>0</v>
      </c>
      <c r="X176" s="189"/>
      <c r="Y176" s="189"/>
      <c r="Z176" s="159">
        <f t="shared" si="54"/>
        <v>0</v>
      </c>
      <c r="AB176" s="189"/>
      <c r="AC176" s="189"/>
      <c r="AD176" s="189"/>
      <c r="AE176" s="159">
        <f t="shared" si="55"/>
        <v>0</v>
      </c>
    </row>
    <row r="177" spans="1:31" x14ac:dyDescent="0.2">
      <c r="A177" s="5"/>
      <c r="B177" s="85">
        <v>7051</v>
      </c>
      <c r="C177" s="10" t="s">
        <v>129</v>
      </c>
      <c r="D177" s="134">
        <f t="shared" si="43"/>
        <v>0</v>
      </c>
      <c r="E177" s="134">
        <f t="shared" si="44"/>
        <v>0</v>
      </c>
      <c r="F177" s="134">
        <f t="shared" si="45"/>
        <v>0</v>
      </c>
      <c r="G177" s="39">
        <f t="shared" si="46"/>
        <v>0</v>
      </c>
      <c r="H177" s="71">
        <f t="shared" si="47"/>
        <v>4593</v>
      </c>
      <c r="I177" s="72">
        <f t="shared" si="48"/>
        <v>4593</v>
      </c>
      <c r="J177" s="71">
        <v>4593</v>
      </c>
      <c r="K177" s="39">
        <f t="shared" si="49"/>
        <v>0</v>
      </c>
      <c r="L177" s="39">
        <f t="shared" si="50"/>
        <v>0</v>
      </c>
      <c r="M177" s="39">
        <f t="shared" si="51"/>
        <v>0</v>
      </c>
      <c r="N177" s="72">
        <f t="shared" si="52"/>
        <v>4593</v>
      </c>
      <c r="O177" s="72">
        <v>0</v>
      </c>
      <c r="P177" s="72">
        <f t="shared" si="53"/>
        <v>4593</v>
      </c>
      <c r="Q177" s="74">
        <v>0</v>
      </c>
      <c r="S177" s="93">
        <f t="shared" si="56"/>
        <v>4593</v>
      </c>
      <c r="T177" s="94" t="e">
        <f t="shared" si="42"/>
        <v>#DIV/0!</v>
      </c>
      <c r="U177" s="104">
        <f t="shared" si="57"/>
        <v>4593</v>
      </c>
      <c r="X177" s="189"/>
      <c r="Y177" s="189"/>
      <c r="Z177" s="159">
        <f t="shared" si="54"/>
        <v>0</v>
      </c>
      <c r="AB177" s="189"/>
      <c r="AC177" s="189"/>
      <c r="AD177" s="189"/>
      <c r="AE177" s="159">
        <f t="shared" si="55"/>
        <v>0</v>
      </c>
    </row>
    <row r="178" spans="1:31" x14ac:dyDescent="0.2">
      <c r="A178" s="5"/>
      <c r="B178" s="85">
        <v>7055</v>
      </c>
      <c r="C178" s="10" t="s">
        <v>130</v>
      </c>
      <c r="D178" s="134">
        <f t="shared" si="43"/>
        <v>43850</v>
      </c>
      <c r="E178" s="134">
        <f t="shared" si="44"/>
        <v>0</v>
      </c>
      <c r="F178" s="134">
        <f t="shared" si="45"/>
        <v>0</v>
      </c>
      <c r="G178" s="39">
        <f t="shared" si="46"/>
        <v>43850</v>
      </c>
      <c r="H178" s="71">
        <f t="shared" si="47"/>
        <v>50183</v>
      </c>
      <c r="I178" s="72">
        <f t="shared" si="48"/>
        <v>94033</v>
      </c>
      <c r="J178" s="71">
        <v>46383</v>
      </c>
      <c r="K178" s="39">
        <f t="shared" si="49"/>
        <v>47650</v>
      </c>
      <c r="L178" s="39">
        <f t="shared" si="50"/>
        <v>0</v>
      </c>
      <c r="M178" s="39">
        <f t="shared" si="51"/>
        <v>47650</v>
      </c>
      <c r="N178" s="72">
        <f t="shared" si="52"/>
        <v>94033</v>
      </c>
      <c r="O178" s="72">
        <v>0</v>
      </c>
      <c r="P178" s="72">
        <f t="shared" si="53"/>
        <v>94033</v>
      </c>
      <c r="Q178" s="74">
        <v>0</v>
      </c>
      <c r="S178" s="93">
        <f t="shared" si="56"/>
        <v>50183</v>
      </c>
      <c r="T178" s="94">
        <f t="shared" si="42"/>
        <v>1.14442417331813</v>
      </c>
      <c r="U178" s="104">
        <f t="shared" si="57"/>
        <v>50183</v>
      </c>
      <c r="X178" s="189">
        <v>47650</v>
      </c>
      <c r="Y178" s="189"/>
      <c r="Z178" s="159">
        <f t="shared" si="54"/>
        <v>47650</v>
      </c>
      <c r="AB178" s="189">
        <v>43850</v>
      </c>
      <c r="AC178" s="189"/>
      <c r="AD178" s="189"/>
      <c r="AE178" s="159">
        <f t="shared" si="55"/>
        <v>43850</v>
      </c>
    </row>
    <row r="179" spans="1:31" hidden="1" x14ac:dyDescent="0.2">
      <c r="A179" s="5"/>
      <c r="B179" s="85">
        <v>7058</v>
      </c>
      <c r="C179" s="10" t="s">
        <v>131</v>
      </c>
      <c r="D179" s="134">
        <f t="shared" si="43"/>
        <v>0</v>
      </c>
      <c r="E179" s="134">
        <f t="shared" si="44"/>
        <v>0</v>
      </c>
      <c r="F179" s="134">
        <f t="shared" si="45"/>
        <v>0</v>
      </c>
      <c r="G179" s="39">
        <f t="shared" si="46"/>
        <v>0</v>
      </c>
      <c r="H179" s="71">
        <f t="shared" si="47"/>
        <v>0</v>
      </c>
      <c r="I179" s="72">
        <f t="shared" si="48"/>
        <v>0</v>
      </c>
      <c r="J179" s="71">
        <v>0</v>
      </c>
      <c r="K179" s="39">
        <f t="shared" si="49"/>
        <v>0</v>
      </c>
      <c r="L179" s="39">
        <f t="shared" si="50"/>
        <v>0</v>
      </c>
      <c r="M179" s="39">
        <f t="shared" si="51"/>
        <v>0</v>
      </c>
      <c r="N179" s="72">
        <f t="shared" si="52"/>
        <v>0</v>
      </c>
      <c r="O179" s="72">
        <v>0</v>
      </c>
      <c r="P179" s="72">
        <f t="shared" si="53"/>
        <v>0</v>
      </c>
      <c r="Q179" s="74">
        <v>0</v>
      </c>
      <c r="S179" s="93">
        <f t="shared" si="56"/>
        <v>0</v>
      </c>
      <c r="T179" s="94" t="e">
        <f t="shared" si="42"/>
        <v>#DIV/0!</v>
      </c>
      <c r="U179" s="104">
        <f t="shared" si="57"/>
        <v>0</v>
      </c>
      <c r="X179" s="189"/>
      <c r="Y179" s="189"/>
      <c r="Z179" s="159">
        <f t="shared" si="54"/>
        <v>0</v>
      </c>
      <c r="AB179" s="189"/>
      <c r="AC179" s="189"/>
      <c r="AD179" s="189"/>
      <c r="AE179" s="159">
        <f t="shared" si="55"/>
        <v>0</v>
      </c>
    </row>
    <row r="180" spans="1:31" x14ac:dyDescent="0.2">
      <c r="A180" s="5"/>
      <c r="B180" s="85">
        <v>7059</v>
      </c>
      <c r="C180" s="10" t="s">
        <v>132</v>
      </c>
      <c r="D180" s="134">
        <f t="shared" si="43"/>
        <v>0</v>
      </c>
      <c r="E180" s="134">
        <f t="shared" si="44"/>
        <v>0</v>
      </c>
      <c r="F180" s="134">
        <f t="shared" si="45"/>
        <v>0</v>
      </c>
      <c r="G180" s="39">
        <f t="shared" si="46"/>
        <v>0</v>
      </c>
      <c r="H180" s="71">
        <f t="shared" si="47"/>
        <v>1188</v>
      </c>
      <c r="I180" s="72">
        <f t="shared" si="48"/>
        <v>1188</v>
      </c>
      <c r="J180" s="71">
        <v>1188</v>
      </c>
      <c r="K180" s="39">
        <f t="shared" si="49"/>
        <v>0</v>
      </c>
      <c r="L180" s="39">
        <f t="shared" si="50"/>
        <v>0</v>
      </c>
      <c r="M180" s="39">
        <f t="shared" si="51"/>
        <v>0</v>
      </c>
      <c r="N180" s="72">
        <f t="shared" si="52"/>
        <v>1188</v>
      </c>
      <c r="O180" s="72">
        <v>0</v>
      </c>
      <c r="P180" s="72">
        <f t="shared" si="53"/>
        <v>1188</v>
      </c>
      <c r="Q180" s="74">
        <v>0</v>
      </c>
      <c r="S180" s="93">
        <f t="shared" si="56"/>
        <v>1188</v>
      </c>
      <c r="T180" s="94" t="e">
        <f t="shared" si="42"/>
        <v>#DIV/0!</v>
      </c>
      <c r="U180" s="104">
        <f t="shared" si="57"/>
        <v>1188</v>
      </c>
      <c r="X180" s="189"/>
      <c r="Y180" s="189"/>
      <c r="Z180" s="159">
        <f t="shared" si="54"/>
        <v>0</v>
      </c>
      <c r="AB180" s="189"/>
      <c r="AC180" s="189"/>
      <c r="AD180" s="189"/>
      <c r="AE180" s="159">
        <f t="shared" si="55"/>
        <v>0</v>
      </c>
    </row>
    <row r="181" spans="1:31" x14ac:dyDescent="0.2">
      <c r="A181" s="5"/>
      <c r="B181" s="85">
        <v>7063</v>
      </c>
      <c r="C181" s="73" t="s">
        <v>242</v>
      </c>
      <c r="D181" s="134">
        <f t="shared" si="43"/>
        <v>0</v>
      </c>
      <c r="E181" s="134">
        <f t="shared" si="44"/>
        <v>0</v>
      </c>
      <c r="F181" s="134">
        <f t="shared" si="45"/>
        <v>0</v>
      </c>
      <c r="G181" s="39">
        <f t="shared" si="46"/>
        <v>0</v>
      </c>
      <c r="H181" s="71">
        <f t="shared" si="47"/>
        <v>21094</v>
      </c>
      <c r="I181" s="72">
        <f t="shared" si="48"/>
        <v>21094</v>
      </c>
      <c r="J181" s="71">
        <v>21094</v>
      </c>
      <c r="K181" s="39">
        <f t="shared" si="49"/>
        <v>0</v>
      </c>
      <c r="L181" s="39">
        <f t="shared" si="50"/>
        <v>0</v>
      </c>
      <c r="M181" s="39">
        <f t="shared" si="51"/>
        <v>0</v>
      </c>
      <c r="N181" s="72">
        <f t="shared" si="52"/>
        <v>21094</v>
      </c>
      <c r="O181" s="72">
        <v>0</v>
      </c>
      <c r="P181" s="72">
        <f t="shared" si="53"/>
        <v>21094</v>
      </c>
      <c r="Q181" s="74">
        <v>0</v>
      </c>
      <c r="S181" s="93">
        <f t="shared" si="56"/>
        <v>21094</v>
      </c>
      <c r="T181" s="94"/>
      <c r="U181" s="104"/>
      <c r="X181" s="189"/>
      <c r="Y181" s="189"/>
      <c r="Z181" s="159">
        <f t="shared" si="54"/>
        <v>0</v>
      </c>
      <c r="AB181" s="189"/>
      <c r="AC181" s="189"/>
      <c r="AD181" s="189"/>
      <c r="AE181" s="159">
        <f t="shared" si="55"/>
        <v>0</v>
      </c>
    </row>
    <row r="182" spans="1:31" x14ac:dyDescent="0.2">
      <c r="A182" s="5"/>
      <c r="B182" s="85">
        <v>7064</v>
      </c>
      <c r="C182" s="73" t="s">
        <v>243</v>
      </c>
      <c r="D182" s="134">
        <f t="shared" si="43"/>
        <v>0</v>
      </c>
      <c r="E182" s="134">
        <f t="shared" si="44"/>
        <v>0</v>
      </c>
      <c r="F182" s="134">
        <f t="shared" si="45"/>
        <v>0</v>
      </c>
      <c r="G182" s="39">
        <f t="shared" si="46"/>
        <v>0</v>
      </c>
      <c r="H182" s="71">
        <f t="shared" si="47"/>
        <v>40356</v>
      </c>
      <c r="I182" s="72">
        <f t="shared" si="48"/>
        <v>40356</v>
      </c>
      <c r="J182" s="71">
        <v>40356</v>
      </c>
      <c r="K182" s="39">
        <f t="shared" si="49"/>
        <v>0</v>
      </c>
      <c r="L182" s="39">
        <f t="shared" si="50"/>
        <v>0</v>
      </c>
      <c r="M182" s="39">
        <f t="shared" si="51"/>
        <v>0</v>
      </c>
      <c r="N182" s="72">
        <f t="shared" si="52"/>
        <v>40356</v>
      </c>
      <c r="O182" s="72">
        <v>0</v>
      </c>
      <c r="P182" s="72">
        <f t="shared" si="53"/>
        <v>40356</v>
      </c>
      <c r="Q182" s="74">
        <v>0</v>
      </c>
      <c r="S182" s="93">
        <f t="shared" si="56"/>
        <v>40356</v>
      </c>
      <c r="T182" s="94"/>
      <c r="U182" s="104"/>
      <c r="X182" s="189"/>
      <c r="Y182" s="189"/>
      <c r="Z182" s="159">
        <f t="shared" si="54"/>
        <v>0</v>
      </c>
      <c r="AB182" s="189"/>
      <c r="AC182" s="189"/>
      <c r="AD182" s="189"/>
      <c r="AE182" s="159">
        <f t="shared" si="55"/>
        <v>0</v>
      </c>
    </row>
    <row r="183" spans="1:31" x14ac:dyDescent="0.2">
      <c r="A183" s="5"/>
      <c r="B183" s="85">
        <v>7071</v>
      </c>
      <c r="C183" s="10" t="s">
        <v>133</v>
      </c>
      <c r="D183" s="134">
        <f t="shared" si="43"/>
        <v>0</v>
      </c>
      <c r="E183" s="134">
        <f t="shared" si="44"/>
        <v>0</v>
      </c>
      <c r="F183" s="134">
        <f t="shared" si="45"/>
        <v>0</v>
      </c>
      <c r="G183" s="39">
        <f t="shared" si="46"/>
        <v>0</v>
      </c>
      <c r="H183" s="71">
        <f t="shared" si="47"/>
        <v>82923</v>
      </c>
      <c r="I183" s="72">
        <f t="shared" si="48"/>
        <v>82923</v>
      </c>
      <c r="J183" s="71">
        <v>82923</v>
      </c>
      <c r="K183" s="39">
        <f t="shared" si="49"/>
        <v>0</v>
      </c>
      <c r="L183" s="39">
        <f t="shared" si="50"/>
        <v>0</v>
      </c>
      <c r="M183" s="39">
        <f t="shared" si="51"/>
        <v>0</v>
      </c>
      <c r="N183" s="72">
        <f t="shared" si="52"/>
        <v>82923</v>
      </c>
      <c r="O183" s="72">
        <v>0</v>
      </c>
      <c r="P183" s="72">
        <f t="shared" si="53"/>
        <v>82923</v>
      </c>
      <c r="Q183" s="74">
        <v>0</v>
      </c>
      <c r="S183" s="93">
        <f t="shared" si="56"/>
        <v>82923</v>
      </c>
      <c r="T183" s="94" t="e">
        <f t="shared" si="42"/>
        <v>#DIV/0!</v>
      </c>
      <c r="U183" s="104">
        <f t="shared" si="57"/>
        <v>82923</v>
      </c>
      <c r="X183" s="189"/>
      <c r="Y183" s="189"/>
      <c r="Z183" s="159">
        <f t="shared" si="54"/>
        <v>0</v>
      </c>
      <c r="AB183" s="189"/>
      <c r="AC183" s="189"/>
      <c r="AD183" s="189"/>
      <c r="AE183" s="159">
        <f t="shared" si="55"/>
        <v>0</v>
      </c>
    </row>
    <row r="184" spans="1:31" hidden="1" x14ac:dyDescent="0.2">
      <c r="A184" s="5"/>
      <c r="B184" s="85">
        <v>7086</v>
      </c>
      <c r="C184" s="73" t="s">
        <v>244</v>
      </c>
      <c r="D184" s="134">
        <f t="shared" si="43"/>
        <v>0</v>
      </c>
      <c r="E184" s="134">
        <f t="shared" si="44"/>
        <v>0</v>
      </c>
      <c r="F184" s="134">
        <f t="shared" si="45"/>
        <v>0</v>
      </c>
      <c r="G184" s="39">
        <f t="shared" si="46"/>
        <v>0</v>
      </c>
      <c r="H184" s="71">
        <f t="shared" si="47"/>
        <v>0</v>
      </c>
      <c r="I184" s="72">
        <f t="shared" si="48"/>
        <v>0</v>
      </c>
      <c r="J184" s="71">
        <v>0</v>
      </c>
      <c r="K184" s="39">
        <f t="shared" si="49"/>
        <v>0</v>
      </c>
      <c r="L184" s="39">
        <f t="shared" si="50"/>
        <v>0</v>
      </c>
      <c r="M184" s="39">
        <f t="shared" si="51"/>
        <v>0</v>
      </c>
      <c r="N184" s="72">
        <f t="shared" si="52"/>
        <v>0</v>
      </c>
      <c r="O184" s="72">
        <v>0</v>
      </c>
      <c r="P184" s="72">
        <f t="shared" si="53"/>
        <v>0</v>
      </c>
      <c r="Q184" s="74">
        <v>0</v>
      </c>
      <c r="S184" s="93">
        <f t="shared" si="56"/>
        <v>0</v>
      </c>
      <c r="T184" s="94"/>
      <c r="U184" s="104"/>
      <c r="X184" s="189"/>
      <c r="Y184" s="189"/>
      <c r="Z184" s="159">
        <f t="shared" si="54"/>
        <v>0</v>
      </c>
      <c r="AB184" s="189"/>
      <c r="AC184" s="189"/>
      <c r="AD184" s="189"/>
      <c r="AE184" s="159">
        <f t="shared" si="55"/>
        <v>0</v>
      </c>
    </row>
    <row r="185" spans="1:31" x14ac:dyDescent="0.2">
      <c r="A185" s="5"/>
      <c r="B185" s="85">
        <v>7087</v>
      </c>
      <c r="C185" s="73" t="s">
        <v>245</v>
      </c>
      <c r="D185" s="134">
        <f t="shared" si="43"/>
        <v>0</v>
      </c>
      <c r="E185" s="134">
        <f t="shared" si="44"/>
        <v>0</v>
      </c>
      <c r="F185" s="134">
        <f t="shared" si="45"/>
        <v>0</v>
      </c>
      <c r="G185" s="39">
        <f t="shared" si="46"/>
        <v>0</v>
      </c>
      <c r="H185" s="71">
        <f t="shared" si="47"/>
        <v>547</v>
      </c>
      <c r="I185" s="72">
        <f t="shared" si="48"/>
        <v>547</v>
      </c>
      <c r="J185" s="71">
        <v>547</v>
      </c>
      <c r="K185" s="39">
        <f t="shared" si="49"/>
        <v>0</v>
      </c>
      <c r="L185" s="39">
        <f t="shared" si="50"/>
        <v>0</v>
      </c>
      <c r="M185" s="39">
        <f t="shared" si="51"/>
        <v>0</v>
      </c>
      <c r="N185" s="72">
        <f t="shared" si="52"/>
        <v>547</v>
      </c>
      <c r="O185" s="72">
        <v>0</v>
      </c>
      <c r="P185" s="72">
        <f t="shared" si="53"/>
        <v>547</v>
      </c>
      <c r="Q185" s="74">
        <v>0</v>
      </c>
      <c r="S185" s="93">
        <f t="shared" si="56"/>
        <v>547</v>
      </c>
      <c r="T185" s="94"/>
      <c r="U185" s="104"/>
      <c r="X185" s="189"/>
      <c r="Y185" s="189"/>
      <c r="Z185" s="159">
        <f t="shared" si="54"/>
        <v>0</v>
      </c>
      <c r="AB185" s="189"/>
      <c r="AC185" s="189"/>
      <c r="AD185" s="189"/>
      <c r="AE185" s="159">
        <f t="shared" si="55"/>
        <v>0</v>
      </c>
    </row>
    <row r="186" spans="1:31" x14ac:dyDescent="0.2">
      <c r="A186" s="5"/>
      <c r="B186" s="85">
        <v>7090</v>
      </c>
      <c r="C186" s="73" t="s">
        <v>246</v>
      </c>
      <c r="D186" s="134">
        <f t="shared" si="43"/>
        <v>0</v>
      </c>
      <c r="E186" s="134">
        <f t="shared" si="44"/>
        <v>0</v>
      </c>
      <c r="F186" s="134">
        <f t="shared" si="45"/>
        <v>0</v>
      </c>
      <c r="G186" s="39">
        <f t="shared" si="46"/>
        <v>0</v>
      </c>
      <c r="H186" s="71">
        <f t="shared" si="47"/>
        <v>2904670</v>
      </c>
      <c r="I186" s="72">
        <f t="shared" si="48"/>
        <v>2904670</v>
      </c>
      <c r="J186" s="71">
        <v>2904670</v>
      </c>
      <c r="K186" s="39">
        <f t="shared" si="49"/>
        <v>0</v>
      </c>
      <c r="L186" s="39">
        <f t="shared" si="50"/>
        <v>0</v>
      </c>
      <c r="M186" s="39">
        <f t="shared" si="51"/>
        <v>0</v>
      </c>
      <c r="N186" s="72">
        <f t="shared" si="52"/>
        <v>2904670</v>
      </c>
      <c r="O186" s="72">
        <v>0</v>
      </c>
      <c r="P186" s="72">
        <f t="shared" si="53"/>
        <v>2904670</v>
      </c>
      <c r="Q186" s="74">
        <v>0</v>
      </c>
      <c r="S186" s="93">
        <f t="shared" si="56"/>
        <v>2904670</v>
      </c>
      <c r="T186" s="94"/>
      <c r="U186" s="104"/>
      <c r="X186" s="189"/>
      <c r="Y186" s="189"/>
      <c r="Z186" s="159">
        <f t="shared" si="54"/>
        <v>0</v>
      </c>
      <c r="AB186" s="189"/>
      <c r="AC186" s="189"/>
      <c r="AD186" s="189"/>
      <c r="AE186" s="159">
        <f t="shared" si="55"/>
        <v>0</v>
      </c>
    </row>
    <row r="187" spans="1:31" x14ac:dyDescent="0.2">
      <c r="A187" s="5"/>
      <c r="B187" s="85">
        <v>8050</v>
      </c>
      <c r="C187" s="10" t="s">
        <v>134</v>
      </c>
      <c r="D187" s="134">
        <f t="shared" si="43"/>
        <v>7142349</v>
      </c>
      <c r="E187" s="134">
        <f t="shared" si="44"/>
        <v>0</v>
      </c>
      <c r="F187" s="134">
        <f t="shared" si="45"/>
        <v>0</v>
      </c>
      <c r="G187" s="39">
        <f t="shared" si="46"/>
        <v>7142349</v>
      </c>
      <c r="H187" s="71">
        <f t="shared" si="47"/>
        <v>13619397</v>
      </c>
      <c r="I187" s="72">
        <f t="shared" si="48"/>
        <v>20761746</v>
      </c>
      <c r="J187" s="71">
        <v>13722437</v>
      </c>
      <c r="K187" s="39">
        <f t="shared" si="49"/>
        <v>7039309</v>
      </c>
      <c r="L187" s="39">
        <f t="shared" si="50"/>
        <v>0</v>
      </c>
      <c r="M187" s="39">
        <f t="shared" si="51"/>
        <v>7039309</v>
      </c>
      <c r="N187" s="72">
        <f t="shared" si="52"/>
        <v>20761746</v>
      </c>
      <c r="O187" s="72">
        <v>0</v>
      </c>
      <c r="P187" s="72">
        <f t="shared" si="53"/>
        <v>20761746</v>
      </c>
      <c r="Q187" s="74">
        <v>0</v>
      </c>
      <c r="S187" s="93">
        <f t="shared" si="56"/>
        <v>13619397</v>
      </c>
      <c r="T187" s="94">
        <f t="shared" si="42"/>
        <v>1.9068512333967438</v>
      </c>
      <c r="U187" s="104">
        <f t="shared" si="57"/>
        <v>13619397</v>
      </c>
      <c r="X187" s="189">
        <v>7039309</v>
      </c>
      <c r="Y187" s="189"/>
      <c r="Z187" s="159">
        <f t="shared" si="54"/>
        <v>7039309</v>
      </c>
      <c r="AB187" s="189">
        <v>7142349</v>
      </c>
      <c r="AC187" s="189"/>
      <c r="AD187" s="189"/>
      <c r="AE187" s="159">
        <f t="shared" si="55"/>
        <v>7142349</v>
      </c>
    </row>
    <row r="188" spans="1:31" s="5" customFormat="1" ht="13.5" thickBot="1" x14ac:dyDescent="0.25">
      <c r="B188" s="16" t="s">
        <v>136</v>
      </c>
      <c r="C188" s="17"/>
      <c r="D188" s="29">
        <f>SUM(D4:D187)</f>
        <v>38465363</v>
      </c>
      <c r="E188" s="29">
        <f t="shared" ref="E188:Q188" si="58">SUM(E4:E187)</f>
        <v>12482122</v>
      </c>
      <c r="F188" s="29">
        <f t="shared" si="58"/>
        <v>3981306</v>
      </c>
      <c r="G188" s="29">
        <f t="shared" si="58"/>
        <v>54928791</v>
      </c>
      <c r="H188" s="29">
        <f t="shared" si="58"/>
        <v>101422237</v>
      </c>
      <c r="I188" s="29">
        <f t="shared" si="58"/>
        <v>156351028</v>
      </c>
      <c r="J188" s="29">
        <f t="shared" si="58"/>
        <v>108903852</v>
      </c>
      <c r="K188" s="29">
        <f t="shared" si="58"/>
        <v>38832678</v>
      </c>
      <c r="L188" s="29">
        <f t="shared" si="58"/>
        <v>8614498</v>
      </c>
      <c r="M188" s="29">
        <f t="shared" si="58"/>
        <v>47447176</v>
      </c>
      <c r="N188" s="29">
        <f t="shared" si="58"/>
        <v>156351028</v>
      </c>
      <c r="O188" s="29">
        <f t="shared" si="58"/>
        <v>0</v>
      </c>
      <c r="P188" s="29">
        <f t="shared" si="58"/>
        <v>156351028</v>
      </c>
      <c r="Q188" s="29">
        <f t="shared" si="58"/>
        <v>0</v>
      </c>
      <c r="R188" s="29">
        <f>SUM(R4:R187)</f>
        <v>0</v>
      </c>
      <c r="S188" s="93">
        <f t="shared" ref="S188" si="59">+P188-G188</f>
        <v>101422237</v>
      </c>
      <c r="T188" s="94">
        <f t="shared" ref="T188" si="60">+S188/G188</f>
        <v>1.8464312640706038</v>
      </c>
      <c r="U188" s="104">
        <f t="shared" si="57"/>
        <v>101422237</v>
      </c>
      <c r="X188" s="104">
        <f>SUM(X4:X187)</f>
        <v>38832678</v>
      </c>
      <c r="Y188" s="104">
        <f t="shared" ref="Y188:Z188" si="61">SUM(Y4:Y187)</f>
        <v>8614498</v>
      </c>
      <c r="Z188" s="104">
        <f t="shared" si="61"/>
        <v>47447176</v>
      </c>
      <c r="AB188" s="160">
        <f>SUM(AB4:AB187)</f>
        <v>38465363</v>
      </c>
      <c r="AC188" s="160">
        <f t="shared" ref="AC188:AE188" si="62">SUM(AC4:AC187)</f>
        <v>12482122</v>
      </c>
      <c r="AD188" s="39">
        <f t="shared" si="62"/>
        <v>3981306</v>
      </c>
      <c r="AE188" s="160">
        <f t="shared" si="62"/>
        <v>54928791</v>
      </c>
    </row>
    <row r="189" spans="1:31" ht="9.75" customHeight="1" thickTop="1" thickBot="1" x14ac:dyDescent="0.25">
      <c r="B189" s="26"/>
      <c r="C189" s="27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3"/>
      <c r="X189" s="39"/>
      <c r="AB189" s="160"/>
      <c r="AC189" s="160"/>
      <c r="AD189" s="39"/>
    </row>
    <row r="190" spans="1:31" s="18" customFormat="1" ht="19.5" customHeight="1" x14ac:dyDescent="0.25">
      <c r="B190" s="19" t="s">
        <v>301</v>
      </c>
      <c r="C190" s="20"/>
      <c r="D190" s="21">
        <f t="shared" ref="D190:P190" si="63">SUM(D4:D187)</f>
        <v>38465363</v>
      </c>
      <c r="E190" s="21">
        <f t="shared" si="63"/>
        <v>12482122</v>
      </c>
      <c r="F190" s="21">
        <f t="shared" si="63"/>
        <v>3981306</v>
      </c>
      <c r="G190" s="21">
        <f t="shared" si="63"/>
        <v>54928791</v>
      </c>
      <c r="H190" s="21">
        <f t="shared" si="63"/>
        <v>101422237</v>
      </c>
      <c r="I190" s="21">
        <f t="shared" si="63"/>
        <v>156351028</v>
      </c>
      <c r="J190" s="21">
        <f t="shared" si="63"/>
        <v>108903852</v>
      </c>
      <c r="K190" s="21">
        <f t="shared" si="63"/>
        <v>38832678</v>
      </c>
      <c r="L190" s="21">
        <f t="shared" si="63"/>
        <v>8614498</v>
      </c>
      <c r="M190" s="21">
        <f t="shared" si="63"/>
        <v>47447176</v>
      </c>
      <c r="N190" s="21">
        <f t="shared" si="63"/>
        <v>156351028</v>
      </c>
      <c r="O190" s="21">
        <f t="shared" si="63"/>
        <v>0</v>
      </c>
      <c r="P190" s="21">
        <f t="shared" si="63"/>
        <v>156351028</v>
      </c>
      <c r="Q190" s="82">
        <v>0</v>
      </c>
      <c r="S190" s="138" t="s">
        <v>223</v>
      </c>
      <c r="X190" s="193">
        <v>38832678</v>
      </c>
      <c r="Y190" s="194">
        <v>8614498</v>
      </c>
      <c r="AB190" s="195">
        <v>38465363</v>
      </c>
      <c r="AC190" s="195">
        <v>12482122</v>
      </c>
      <c r="AD190" s="195">
        <v>3981306</v>
      </c>
    </row>
    <row r="191" spans="1:31" s="22" customFormat="1" ht="19.5" customHeight="1" thickBot="1" x14ac:dyDescent="0.3">
      <c r="B191" s="23" t="s">
        <v>300</v>
      </c>
      <c r="C191" s="24"/>
      <c r="D191" s="25">
        <f>'FY2025 Resources Available'!D48</f>
        <v>64501103</v>
      </c>
      <c r="E191" s="25">
        <f>'FY2025 Resources Available'!E48</f>
        <v>497434</v>
      </c>
      <c r="F191" s="25">
        <f>'FY2025 Resources Available'!F48</f>
        <v>9771348</v>
      </c>
      <c r="G191" s="25">
        <f>'FY2025 Resources Available'!G48</f>
        <v>74769885</v>
      </c>
      <c r="H191" s="25">
        <f>'FY2025 Resources Available'!H48</f>
        <v>16122554.542800004</v>
      </c>
      <c r="I191" s="25">
        <f>'FY2025 Resources Available'!I48</f>
        <v>90892439.542799994</v>
      </c>
      <c r="J191" s="25">
        <f>'FY2025 Resources Available'!J48</f>
        <v>21332985</v>
      </c>
      <c r="K191" s="25">
        <f>'FY2025 Resources Available'!K48</f>
        <v>15267916</v>
      </c>
      <c r="L191" s="25">
        <f>'FY2025 Resources Available'!L48</f>
        <v>5138156</v>
      </c>
      <c r="M191" s="25">
        <f>'FY2025 Resources Available'!M48</f>
        <v>20406072</v>
      </c>
      <c r="N191" s="25">
        <f>'FY2025 Resources Available'!N48</f>
        <v>41739057</v>
      </c>
      <c r="O191" s="25">
        <f>'FY2025 Resources Available'!O48</f>
        <v>49153382.542799994</v>
      </c>
      <c r="P191" s="25">
        <f>'FY2025 Resources Available'!P48</f>
        <v>90892439.542799994</v>
      </c>
      <c r="Q191" s="83">
        <f>+'FY2025 Resources Available'!R48</f>
        <v>104.87999999999998</v>
      </c>
      <c r="R191" s="25"/>
      <c r="S191" s="91">
        <f>+D192+D196+D200+E192+E196+E200+F192+F196+F200-G192-G196-G200</f>
        <v>-1.0000000149011612</v>
      </c>
      <c r="X191" s="91">
        <f>+X190-X188</f>
        <v>0</v>
      </c>
      <c r="Y191" s="91">
        <f t="shared" ref="Y191" si="64">+Y190-Y188</f>
        <v>0</v>
      </c>
      <c r="Z191" s="91"/>
      <c r="AB191" s="161">
        <f>+AB190-AB188</f>
        <v>0</v>
      </c>
      <c r="AC191" s="161">
        <f>+AC188-AC190</f>
        <v>0</v>
      </c>
      <c r="AD191" s="172">
        <f>+AD188-AD190</f>
        <v>0</v>
      </c>
    </row>
    <row r="192" spans="1:31" s="22" customFormat="1" ht="25.5" customHeight="1" thickBot="1" x14ac:dyDescent="0.3">
      <c r="B192" s="120" t="s">
        <v>299</v>
      </c>
      <c r="C192" s="121"/>
      <c r="D192" s="122">
        <f t="shared" ref="D192:F192" si="65">SUM(D190:D191)</f>
        <v>102966466</v>
      </c>
      <c r="E192" s="122">
        <f t="shared" ref="E192" si="66">SUM(E190:E191)</f>
        <v>12979556</v>
      </c>
      <c r="F192" s="122">
        <f t="shared" si="65"/>
        <v>13752654</v>
      </c>
      <c r="G192" s="122">
        <f>SUM(G190:G191)</f>
        <v>129698676</v>
      </c>
      <c r="H192" s="122">
        <f t="shared" ref="H192:Q192" si="67">SUM(H190:H191)</f>
        <v>117544791.54280001</v>
      </c>
      <c r="I192" s="122">
        <f t="shared" si="67"/>
        <v>247243467.54280001</v>
      </c>
      <c r="J192" s="122">
        <f>SUM(J190:J191)</f>
        <v>130236837</v>
      </c>
      <c r="K192" s="122">
        <f t="shared" ref="K192:L192" si="68">SUM(K190:K191)</f>
        <v>54100594</v>
      </c>
      <c r="L192" s="122">
        <f t="shared" si="68"/>
        <v>13752654</v>
      </c>
      <c r="M192" s="122">
        <f t="shared" si="67"/>
        <v>67853248</v>
      </c>
      <c r="N192" s="122">
        <f t="shared" si="67"/>
        <v>198090085</v>
      </c>
      <c r="O192" s="122">
        <f t="shared" si="67"/>
        <v>49153382.542799994</v>
      </c>
      <c r="P192" s="122">
        <f t="shared" si="67"/>
        <v>247243467.54280001</v>
      </c>
      <c r="Q192" s="123">
        <f t="shared" si="67"/>
        <v>104.87999999999998</v>
      </c>
      <c r="AB192" s="161"/>
      <c r="AC192" s="161"/>
      <c r="AD192" s="172"/>
    </row>
    <row r="193" spans="2:30" ht="6" customHeight="1" thickBot="1" x14ac:dyDescent="0.25">
      <c r="D193" s="28"/>
      <c r="E193" s="28"/>
      <c r="F193" s="28"/>
      <c r="AB193" s="160"/>
      <c r="AC193" s="160"/>
      <c r="AD193" s="39"/>
    </row>
    <row r="194" spans="2:30" ht="18" customHeight="1" x14ac:dyDescent="0.2">
      <c r="B194" s="108" t="s">
        <v>290</v>
      </c>
      <c r="C194" s="109"/>
      <c r="D194" s="110">
        <v>29334831</v>
      </c>
      <c r="E194" s="110">
        <v>11919589</v>
      </c>
      <c r="F194" s="110">
        <v>5156764</v>
      </c>
      <c r="G194" s="110">
        <v>46411184</v>
      </c>
      <c r="H194" s="110">
        <v>107761353</v>
      </c>
      <c r="I194" s="110">
        <v>154172537</v>
      </c>
      <c r="J194" s="110">
        <v>101296314</v>
      </c>
      <c r="K194" s="110">
        <v>43126912</v>
      </c>
      <c r="L194" s="110">
        <v>9749311</v>
      </c>
      <c r="M194" s="110">
        <v>52876223</v>
      </c>
      <c r="N194" s="110">
        <v>154172537</v>
      </c>
      <c r="O194" s="110">
        <v>0</v>
      </c>
      <c r="P194" s="110">
        <v>154172537</v>
      </c>
      <c r="Q194" s="111">
        <v>0</v>
      </c>
      <c r="AB194" s="160"/>
      <c r="AC194" s="160"/>
      <c r="AD194" s="39"/>
    </row>
    <row r="195" spans="2:30" ht="18" customHeight="1" thickBot="1" x14ac:dyDescent="0.25">
      <c r="B195" s="112" t="s">
        <v>291</v>
      </c>
      <c r="C195" s="113"/>
      <c r="D195" s="114">
        <v>57755576</v>
      </c>
      <c r="E195" s="114">
        <v>1497977</v>
      </c>
      <c r="F195" s="114">
        <v>9921938</v>
      </c>
      <c r="G195" s="114">
        <v>69175491</v>
      </c>
      <c r="H195" s="114">
        <v>20683896.384100001</v>
      </c>
      <c r="I195" s="114">
        <v>89859387.38409999</v>
      </c>
      <c r="J195" s="114">
        <v>24189037</v>
      </c>
      <c r="K195" s="114">
        <v>14815811</v>
      </c>
      <c r="L195" s="114">
        <v>5329391</v>
      </c>
      <c r="M195" s="114">
        <v>20145202</v>
      </c>
      <c r="N195" s="114">
        <v>44334239</v>
      </c>
      <c r="O195" s="114">
        <v>45525148.384100005</v>
      </c>
      <c r="P195" s="114">
        <v>89859387.38409999</v>
      </c>
      <c r="Q195" s="115">
        <v>143.86000000000001</v>
      </c>
      <c r="S195" s="90">
        <f>+K192+K196+K200+L192+L196+L200-M192-M196-M200</f>
        <v>0</v>
      </c>
      <c r="AB195" s="160"/>
      <c r="AC195" s="160"/>
      <c r="AD195" s="39"/>
    </row>
    <row r="196" spans="2:30" ht="18" customHeight="1" thickBot="1" x14ac:dyDescent="0.25">
      <c r="B196" s="79" t="s">
        <v>292</v>
      </c>
      <c r="C196" s="80"/>
      <c r="D196" s="81">
        <v>84588585.079999998</v>
      </c>
      <c r="E196" s="81">
        <v>14001099</v>
      </c>
      <c r="F196" s="81">
        <v>19733891</v>
      </c>
      <c r="G196" s="81">
        <v>118323575.08</v>
      </c>
      <c r="H196" s="81">
        <v>86976220.748100013</v>
      </c>
      <c r="I196" s="81">
        <v>205299795.8281</v>
      </c>
      <c r="J196" s="81">
        <v>91568268.409999996</v>
      </c>
      <c r="K196" s="81">
        <v>50305391</v>
      </c>
      <c r="L196" s="81">
        <v>19733891</v>
      </c>
      <c r="M196" s="81">
        <v>70039282</v>
      </c>
      <c r="N196" s="81">
        <v>161607550.41</v>
      </c>
      <c r="O196" s="81">
        <v>43692245.418099999</v>
      </c>
      <c r="P196" s="81">
        <v>205299795.8281</v>
      </c>
      <c r="Q196" s="116">
        <v>162.18</v>
      </c>
      <c r="AB196" s="160"/>
      <c r="AC196" s="160"/>
      <c r="AD196" s="39"/>
    </row>
    <row r="197" spans="2:30" ht="7.5" customHeight="1" thickBot="1" x14ac:dyDescent="0.25">
      <c r="D197" s="28"/>
      <c r="E197" s="28"/>
      <c r="F197" s="28"/>
      <c r="AB197" s="160"/>
      <c r="AC197" s="160"/>
      <c r="AD197" s="39"/>
    </row>
    <row r="198" spans="2:30" ht="18.75" customHeight="1" x14ac:dyDescent="0.2">
      <c r="B198" s="169" t="s">
        <v>282</v>
      </c>
      <c r="C198" s="106"/>
      <c r="D198" s="179">
        <v>28170605</v>
      </c>
      <c r="E198" s="179">
        <v>14979899</v>
      </c>
      <c r="F198" s="179">
        <v>7438091</v>
      </c>
      <c r="G198" s="179">
        <v>50588595</v>
      </c>
      <c r="H198" s="179">
        <v>83953231</v>
      </c>
      <c r="I198" s="179">
        <v>134541826</v>
      </c>
      <c r="J198" s="179">
        <v>86818382</v>
      </c>
      <c r="K198" s="179">
        <v>33577162</v>
      </c>
      <c r="L198" s="179">
        <v>14146282</v>
      </c>
      <c r="M198" s="179">
        <v>47723444</v>
      </c>
      <c r="N198" s="179">
        <v>134541826</v>
      </c>
      <c r="O198" s="179">
        <v>0</v>
      </c>
      <c r="P198" s="179">
        <v>134541826</v>
      </c>
      <c r="Q198" s="180">
        <v>0</v>
      </c>
      <c r="S198" s="90">
        <f>+J192+J196+J200+M192+M196+M200+O192+O196+O200-P192-P196-P200</f>
        <v>0</v>
      </c>
      <c r="AB198" s="160"/>
      <c r="AC198" s="160"/>
      <c r="AD198" s="39"/>
    </row>
    <row r="199" spans="2:30" ht="18" customHeight="1" thickBot="1" x14ac:dyDescent="0.25">
      <c r="B199" s="170" t="s">
        <v>281</v>
      </c>
      <c r="C199" s="107"/>
      <c r="D199" s="181">
        <v>53778577</v>
      </c>
      <c r="E199" s="181">
        <v>1075900</v>
      </c>
      <c r="F199" s="181">
        <v>12157084</v>
      </c>
      <c r="G199" s="181">
        <v>67011561</v>
      </c>
      <c r="H199" s="181">
        <v>18704953.6138</v>
      </c>
      <c r="I199" s="181">
        <v>85716514.613800004</v>
      </c>
      <c r="J199" s="181">
        <v>22483504</v>
      </c>
      <c r="K199" s="181">
        <v>13788645</v>
      </c>
      <c r="L199" s="181">
        <v>5448893</v>
      </c>
      <c r="M199" s="181">
        <v>19237538</v>
      </c>
      <c r="N199" s="181">
        <v>41721042</v>
      </c>
      <c r="O199" s="181">
        <v>43995472.613799989</v>
      </c>
      <c r="P199" s="181">
        <v>85716514.613800004</v>
      </c>
      <c r="Q199" s="182">
        <v>143.67000000000002</v>
      </c>
      <c r="S199" s="90">
        <f>+G192+G196+G200+H192+H196+H200-I192-I196-I200</f>
        <v>18.000000029802322</v>
      </c>
      <c r="AB199" s="160"/>
      <c r="AC199" s="160"/>
      <c r="AD199" s="39"/>
    </row>
    <row r="200" spans="2:30" ht="18" customHeight="1" thickBot="1" x14ac:dyDescent="0.25">
      <c r="B200" s="171" t="s">
        <v>283</v>
      </c>
      <c r="C200" s="117"/>
      <c r="D200" s="118">
        <v>80856513</v>
      </c>
      <c r="E200" s="118">
        <v>8229395</v>
      </c>
      <c r="F200" s="118">
        <v>10158625</v>
      </c>
      <c r="G200" s="118">
        <v>99244534</v>
      </c>
      <c r="H200" s="118">
        <v>57156346</v>
      </c>
      <c r="I200" s="118">
        <v>156400862</v>
      </c>
      <c r="J200" s="118">
        <v>57852714</v>
      </c>
      <c r="K200" s="118">
        <v>47552402</v>
      </c>
      <c r="L200" s="118">
        <v>10158625</v>
      </c>
      <c r="M200" s="118">
        <v>57711027</v>
      </c>
      <c r="N200" s="118">
        <v>115563741</v>
      </c>
      <c r="O200" s="118">
        <v>40837121</v>
      </c>
      <c r="P200" s="118">
        <v>156400862</v>
      </c>
      <c r="Q200" s="152">
        <v>160.83000000000001</v>
      </c>
      <c r="R200" s="81">
        <f t="shared" ref="R200" si="69">SUM(R198:R199)</f>
        <v>0</v>
      </c>
      <c r="S200" s="90">
        <f>+P192+P196+P200-I192-I196-I200</f>
        <v>0</v>
      </c>
      <c r="AB200" s="160"/>
      <c r="AC200" s="160"/>
      <c r="AD200" s="39"/>
    </row>
    <row r="201" spans="2:30" x14ac:dyDescent="0.2">
      <c r="S201" s="90">
        <f>+G200+H200-I200</f>
        <v>18</v>
      </c>
    </row>
    <row r="231" spans="3:19" x14ac:dyDescent="0.2">
      <c r="S231" s="6"/>
    </row>
    <row r="233" spans="3:19" x14ac:dyDescent="0.2">
      <c r="C233" s="10"/>
      <c r="D233" s="10"/>
      <c r="E233" s="10"/>
      <c r="F233" s="10"/>
    </row>
    <row r="235" spans="3:19" x14ac:dyDescent="0.2">
      <c r="C235" s="5"/>
      <c r="D235" s="5"/>
      <c r="E235" s="5"/>
      <c r="F235" s="5"/>
    </row>
    <row r="236" spans="3:19" x14ac:dyDescent="0.2">
      <c r="C236" s="7"/>
      <c r="D236" s="7"/>
      <c r="E236" s="7"/>
      <c r="F236" s="7"/>
    </row>
  </sheetData>
  <mergeCells count="1">
    <mergeCell ref="G2:G3"/>
  </mergeCells>
  <phoneticPr fontId="3" type="noConversion"/>
  <conditionalFormatting sqref="J1:L3">
    <cfRule type="cellIs" dxfId="4" priority="17" operator="lessThan">
      <formula>0</formula>
    </cfRule>
  </conditionalFormatting>
  <conditionalFormatting sqref="J189:L1048576">
    <cfRule type="cellIs" dxfId="3" priority="3" operator="lessThan">
      <formula>0</formula>
    </cfRule>
  </conditionalFormatting>
  <conditionalFormatting sqref="K4:L187">
    <cfRule type="cellIs" dxfId="2" priority="1" operator="lessThan">
      <formula>0</formula>
    </cfRule>
  </conditionalFormatting>
  <conditionalFormatting sqref="S1:S1048576">
    <cfRule type="cellIs" dxfId="1" priority="8" operator="lessThan">
      <formula>0</formula>
    </cfRule>
  </conditionalFormatting>
  <conditionalFormatting sqref="X4:Y187 X189">
    <cfRule type="cellIs" dxfId="0" priority="7" operator="lessThan">
      <formula>0</formula>
    </cfRule>
  </conditionalFormatting>
  <printOptions horizontalCentered="1"/>
  <pageMargins left="0" right="0" top="0.5" bottom="0.25" header="0" footer="0"/>
  <pageSetup paperSize="17" scale="65" orientation="landscape" r:id="rId1"/>
  <headerFooter alignWithMargins="0">
    <oddHeader>&amp;C&amp;14Flathead County 
&amp;K000000Non-levied Funds FY25-PRELIMINARY</oddHeader>
    <oddFooter>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3"/>
  </sheetPr>
  <dimension ref="A1:B4"/>
  <sheetViews>
    <sheetView workbookViewId="0">
      <selection activeCell="A5" sqref="A5"/>
    </sheetView>
  </sheetViews>
  <sheetFormatPr defaultRowHeight="12.75" x14ac:dyDescent="0.2"/>
  <sheetData>
    <row r="1" spans="1:2" x14ac:dyDescent="0.2">
      <c r="A1">
        <v>1</v>
      </c>
      <c r="B1" s="73" t="s">
        <v>265</v>
      </c>
    </row>
    <row r="2" spans="1:2" x14ac:dyDescent="0.2">
      <c r="B2" s="73" t="s">
        <v>264</v>
      </c>
    </row>
    <row r="3" spans="1:2" x14ac:dyDescent="0.2">
      <c r="A3">
        <v>2</v>
      </c>
      <c r="B3" t="s">
        <v>268</v>
      </c>
    </row>
    <row r="4" spans="1:2" x14ac:dyDescent="0.2">
      <c r="A4">
        <v>3</v>
      </c>
      <c r="B4" s="73" t="s">
        <v>269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WHERE IS THE GROWTH</vt:lpstr>
      <vt:lpstr>FY2025 Resources Available</vt:lpstr>
      <vt:lpstr>Non-levied Funds FY25</vt:lpstr>
      <vt:lpstr>How to</vt:lpstr>
      <vt:lpstr>'FY2025 Resources Available'!Print_Area</vt:lpstr>
      <vt:lpstr>'Non-levied Funds FY25'!Print_Area</vt:lpstr>
      <vt:lpstr>'FY2025 Resources Available'!Print_Titles</vt:lpstr>
      <vt:lpstr>'Non-levied Funds FY25'!Print_Titles</vt:lpstr>
    </vt:vector>
  </TitlesOfParts>
  <Company>Courthouse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jexner</dc:creator>
  <cp:lastModifiedBy>Tamara Helmstetler</cp:lastModifiedBy>
  <cp:lastPrinted>2024-06-25T20:09:26Z</cp:lastPrinted>
  <dcterms:created xsi:type="dcterms:W3CDTF">2002-04-17T22:07:48Z</dcterms:created>
  <dcterms:modified xsi:type="dcterms:W3CDTF">2024-06-28T17:24:57Z</dcterms:modified>
</cp:coreProperties>
</file>